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mainserver2\SGC\01_PROCESOS ESTRATEGICOS\DIRECCIONAMIENTO ESTRATÉGICO\05_PLANES\PLAN DE ACCION\2024\SEGUIMIENTOS\"/>
    </mc:Choice>
  </mc:AlternateContent>
  <xr:revisionPtr revIDLastSave="0" documentId="13_ncr:1_{239560ED-B04B-487E-8D8A-32A94667073A}" xr6:coauthVersionLast="47" xr6:coauthVersionMax="47" xr10:uidLastSave="{00000000-0000-0000-0000-000000000000}"/>
  <bookViews>
    <workbookView xWindow="-120" yWindow="-120" windowWidth="29040" windowHeight="15840" tabRatio="897" xr2:uid="{00000000-000D-0000-FFFF-FFFF00000000}"/>
  </bookViews>
  <sheets>
    <sheet name="Plan de acción 2024" sheetId="1" r:id="rId1"/>
    <sheet name="Cumplimiento 2024" sheetId="2" r:id="rId2"/>
    <sheet name="Direccionamiento Estrategico" sheetId="13" r:id="rId3"/>
    <sheet name="Atención al Cliente" sheetId="3" r:id="rId4"/>
    <sheet name="Bienestar" sheetId="4" r:id="rId5"/>
    <sheet name="Crédito" sheetId="15" r:id="rId6"/>
    <sheet name="Cartera" sheetId="5" r:id="rId7"/>
    <sheet name="Gestión Contractual" sheetId="6" r:id="rId8"/>
    <sheet name="Gestión de la Información" sheetId="7" r:id="rId9"/>
    <sheet name="Gestión de Recursos Físicos" sheetId="8" r:id="rId10"/>
    <sheet name="Gestión de Talento Humano" sheetId="9" r:id="rId11"/>
    <sheet name="Gestión Financiera" sheetId="10" r:id="rId12"/>
    <sheet name="Gestión Jurídica" sheetId="11" r:id="rId13"/>
    <sheet name="Gestion del Mejoramiento" sheetId="12" r:id="rId14"/>
    <sheet name="GRAFICO" sheetId="14" r:id="rId15"/>
  </sheets>
  <definedNames>
    <definedName name="_xlnm._FilterDatabase" localSheetId="0" hidden="1">'Plan de acción 2024'!$B$9:$AQ$65</definedName>
  </definedNames>
  <calcPr calcId="191029"/>
</workbook>
</file>

<file path=xl/calcChain.xml><?xml version="1.0" encoding="utf-8"?>
<calcChain xmlns="http://schemas.openxmlformats.org/spreadsheetml/2006/main">
  <c r="T16" i="1" l="1"/>
  <c r="T15" i="1"/>
  <c r="I5" i="12"/>
  <c r="J5" i="12"/>
  <c r="K5" i="12"/>
  <c r="L5" i="12"/>
  <c r="I6" i="12"/>
  <c r="J6" i="12"/>
  <c r="K6" i="12"/>
  <c r="L6" i="12"/>
  <c r="I7" i="12"/>
  <c r="J7" i="12"/>
  <c r="K7" i="12"/>
  <c r="L7" i="12"/>
  <c r="I8" i="12"/>
  <c r="J8" i="12"/>
  <c r="K8" i="12"/>
  <c r="L8" i="12"/>
  <c r="I9" i="12"/>
  <c r="J9" i="12"/>
  <c r="K9" i="12"/>
  <c r="L9" i="12"/>
  <c r="L4" i="12"/>
  <c r="K4" i="12"/>
  <c r="J4" i="12"/>
  <c r="I6" i="11"/>
  <c r="J6" i="11"/>
  <c r="K6" i="11"/>
  <c r="L6" i="11"/>
  <c r="I5" i="6"/>
  <c r="J5" i="6"/>
  <c r="K5" i="6"/>
  <c r="L5" i="6"/>
  <c r="I6" i="6"/>
  <c r="J6" i="6"/>
  <c r="K6" i="6"/>
  <c r="L6" i="6"/>
  <c r="B6" i="11"/>
  <c r="C6" i="11"/>
  <c r="D6" i="11"/>
  <c r="E6" i="11"/>
  <c r="F6" i="11"/>
  <c r="G6" i="11"/>
  <c r="I4" i="12"/>
  <c r="I5" i="11"/>
  <c r="J5" i="11"/>
  <c r="K5" i="11"/>
  <c r="L5" i="11"/>
  <c r="L4" i="11"/>
  <c r="K4" i="11"/>
  <c r="J4" i="11"/>
  <c r="I4" i="11"/>
  <c r="I5" i="10"/>
  <c r="J5" i="10"/>
  <c r="K5" i="10"/>
  <c r="L5" i="10"/>
  <c r="I6" i="10"/>
  <c r="J6" i="10"/>
  <c r="K6" i="10"/>
  <c r="L6" i="10"/>
  <c r="I7" i="10"/>
  <c r="J7" i="10"/>
  <c r="K7" i="10"/>
  <c r="L7" i="10"/>
  <c r="I8" i="10"/>
  <c r="J8" i="10"/>
  <c r="K8" i="10"/>
  <c r="L8" i="10"/>
  <c r="L4" i="10"/>
  <c r="K4" i="10"/>
  <c r="J4" i="10"/>
  <c r="I4" i="10"/>
  <c r="I5" i="9"/>
  <c r="J5" i="9"/>
  <c r="K5" i="9"/>
  <c r="L5" i="9"/>
  <c r="I6" i="9"/>
  <c r="J6" i="9"/>
  <c r="K6" i="9"/>
  <c r="L6" i="9"/>
  <c r="I7" i="9"/>
  <c r="J7" i="9"/>
  <c r="K7" i="9"/>
  <c r="L7" i="9"/>
  <c r="I8" i="9"/>
  <c r="J8" i="9"/>
  <c r="K8" i="9"/>
  <c r="L8" i="9"/>
  <c r="I9" i="9"/>
  <c r="J9" i="9"/>
  <c r="K9" i="9"/>
  <c r="L9" i="9"/>
  <c r="I10" i="9"/>
  <c r="J10" i="9"/>
  <c r="K10" i="9"/>
  <c r="L10" i="9"/>
  <c r="I11" i="9"/>
  <c r="J11" i="9"/>
  <c r="K11" i="9"/>
  <c r="L11" i="9"/>
  <c r="L4" i="9"/>
  <c r="K4" i="9"/>
  <c r="J4" i="9"/>
  <c r="I4" i="9"/>
  <c r="I5" i="8"/>
  <c r="J5" i="8"/>
  <c r="K5" i="8"/>
  <c r="L5" i="8"/>
  <c r="I6" i="8"/>
  <c r="J6" i="8"/>
  <c r="K6" i="8"/>
  <c r="L6" i="8"/>
  <c r="I7" i="8"/>
  <c r="J7" i="8"/>
  <c r="K7" i="8"/>
  <c r="L7" i="8"/>
  <c r="I8" i="8"/>
  <c r="J8" i="8"/>
  <c r="K8" i="8"/>
  <c r="L8" i="8"/>
  <c r="I9" i="8"/>
  <c r="J9" i="8"/>
  <c r="K9" i="8"/>
  <c r="L9" i="8"/>
  <c r="L4" i="8"/>
  <c r="K4" i="8"/>
  <c r="J4" i="8"/>
  <c r="I4" i="8"/>
  <c r="I5" i="7"/>
  <c r="J5" i="7"/>
  <c r="K5" i="7"/>
  <c r="L5" i="7"/>
  <c r="I6" i="7"/>
  <c r="J6" i="7"/>
  <c r="K6" i="7"/>
  <c r="L6" i="7"/>
  <c r="I7" i="7"/>
  <c r="J7" i="7"/>
  <c r="K7" i="7"/>
  <c r="L7" i="7"/>
  <c r="I8" i="7"/>
  <c r="J8" i="7"/>
  <c r="K8" i="7"/>
  <c r="L8" i="7"/>
  <c r="L4" i="7"/>
  <c r="K4" i="7"/>
  <c r="J4" i="7"/>
  <c r="I4" i="7"/>
  <c r="L4" i="6"/>
  <c r="K4" i="6"/>
  <c r="J4" i="6"/>
  <c r="I4" i="6"/>
  <c r="I5" i="5"/>
  <c r="J5" i="5"/>
  <c r="K5" i="5"/>
  <c r="L5" i="5"/>
  <c r="I6" i="5"/>
  <c r="J6" i="5"/>
  <c r="K6" i="5"/>
  <c r="L6" i="5"/>
  <c r="I7" i="5"/>
  <c r="J7" i="5"/>
  <c r="K7" i="5"/>
  <c r="L7" i="5"/>
  <c r="L4" i="5"/>
  <c r="K4" i="5"/>
  <c r="J4" i="5"/>
  <c r="I4" i="5"/>
  <c r="I5" i="15"/>
  <c r="J5" i="15"/>
  <c r="K5" i="15"/>
  <c r="L5" i="15"/>
  <c r="I6" i="15"/>
  <c r="J6" i="15"/>
  <c r="K6" i="15"/>
  <c r="L6" i="15"/>
  <c r="L4" i="15"/>
  <c r="K4" i="15"/>
  <c r="J4" i="15"/>
  <c r="I4" i="15"/>
  <c r="I5" i="4"/>
  <c r="J5" i="4"/>
  <c r="K5" i="4"/>
  <c r="L5" i="4"/>
  <c r="I6" i="4"/>
  <c r="J6" i="4"/>
  <c r="K6" i="4"/>
  <c r="L6" i="4"/>
  <c r="L4" i="4"/>
  <c r="K4" i="4"/>
  <c r="J4" i="4"/>
  <c r="I4" i="4"/>
  <c r="I5" i="3"/>
  <c r="J5" i="3"/>
  <c r="K5" i="3"/>
  <c r="L5" i="3"/>
  <c r="I6" i="3"/>
  <c r="J6" i="3"/>
  <c r="K6" i="3"/>
  <c r="L6" i="3"/>
  <c r="I7" i="3"/>
  <c r="J7" i="3"/>
  <c r="K7" i="3"/>
  <c r="L7" i="3"/>
  <c r="L4" i="3"/>
  <c r="K4" i="3"/>
  <c r="J4" i="3"/>
  <c r="I4" i="3"/>
  <c r="I5" i="13"/>
  <c r="J5" i="13"/>
  <c r="K5" i="13"/>
  <c r="L5" i="13"/>
  <c r="I6" i="13"/>
  <c r="J6" i="13"/>
  <c r="K6" i="13"/>
  <c r="L6" i="13"/>
  <c r="I7" i="13"/>
  <c r="J7" i="13"/>
  <c r="K7" i="13"/>
  <c r="L7" i="13"/>
  <c r="L4" i="13"/>
  <c r="K4" i="13"/>
  <c r="J4" i="13"/>
  <c r="I4" i="13"/>
  <c r="B6" i="15"/>
  <c r="B5" i="15"/>
  <c r="B4" i="15"/>
  <c r="C6" i="4"/>
  <c r="E6" i="4"/>
  <c r="B5" i="4"/>
  <c r="B6" i="4"/>
  <c r="B4" i="4"/>
  <c r="E4" i="13"/>
  <c r="F4" i="13"/>
  <c r="D4" i="13"/>
  <c r="C4" i="13"/>
  <c r="G4" i="13"/>
  <c r="AE65" i="1"/>
  <c r="AB65" i="1"/>
  <c r="Y65" i="1"/>
  <c r="V65" i="1"/>
  <c r="AE64" i="1"/>
  <c r="AB64" i="1"/>
  <c r="Y64" i="1"/>
  <c r="V64" i="1"/>
  <c r="AE63" i="1"/>
  <c r="AB63" i="1"/>
  <c r="Y63" i="1"/>
  <c r="V63" i="1"/>
  <c r="AE62" i="1"/>
  <c r="AB62" i="1"/>
  <c r="Y62" i="1"/>
  <c r="V62" i="1"/>
  <c r="AF61" i="1"/>
  <c r="AB61" i="1"/>
  <c r="V61" i="1"/>
  <c r="AE60" i="1"/>
  <c r="AB60" i="1"/>
  <c r="Y60" i="1"/>
  <c r="V60" i="1"/>
  <c r="Y58" i="1"/>
  <c r="AF58" i="1"/>
  <c r="AB58" i="1"/>
  <c r="AE57" i="1"/>
  <c r="AB57" i="1"/>
  <c r="Y57" i="1"/>
  <c r="V57" i="1"/>
  <c r="AE56" i="1"/>
  <c r="AB56" i="1"/>
  <c r="Y56" i="1"/>
  <c r="V56" i="1"/>
  <c r="AE55" i="1"/>
  <c r="AB55" i="1"/>
  <c r="Y55" i="1"/>
  <c r="V55" i="1"/>
  <c r="AE54" i="1"/>
  <c r="AB54" i="1"/>
  <c r="Y54" i="1"/>
  <c r="V54" i="1"/>
  <c r="AE53" i="1"/>
  <c r="AB53" i="1"/>
  <c r="Y53" i="1"/>
  <c r="V53" i="1"/>
  <c r="AE52" i="1"/>
  <c r="AB52" i="1"/>
  <c r="Y52" i="1"/>
  <c r="V52" i="1"/>
  <c r="AE51" i="1"/>
  <c r="AB51" i="1"/>
  <c r="Y51" i="1"/>
  <c r="AB50" i="1"/>
  <c r="AE49" i="1"/>
  <c r="AB48" i="1"/>
  <c r="Y48" i="1"/>
  <c r="AE47" i="1"/>
  <c r="AB47" i="1"/>
  <c r="Y47" i="1"/>
  <c r="V47" i="1"/>
  <c r="AE46" i="1"/>
  <c r="AB46" i="1"/>
  <c r="Y46" i="1"/>
  <c r="X46" i="1"/>
  <c r="V46" i="1"/>
  <c r="AE45" i="1"/>
  <c r="AB45" i="1"/>
  <c r="Y45" i="1"/>
  <c r="V45" i="1"/>
  <c r="V44" i="1"/>
  <c r="AE44" i="1"/>
  <c r="AB44" i="1"/>
  <c r="Y44" i="1"/>
  <c r="AE42" i="1"/>
  <c r="AB42" i="1"/>
  <c r="Y42" i="1"/>
  <c r="V42" i="1"/>
  <c r="AE41" i="1"/>
  <c r="AB41" i="1"/>
  <c r="Y41" i="1"/>
  <c r="V41" i="1"/>
  <c r="AE39" i="1"/>
  <c r="AB39" i="1"/>
  <c r="Y39" i="1"/>
  <c r="V39" i="1"/>
  <c r="AF60" i="1"/>
  <c r="AE37" i="1"/>
  <c r="AB37" i="1"/>
  <c r="Y37" i="1"/>
  <c r="AE36" i="1"/>
  <c r="AB36" i="1"/>
  <c r="Y36" i="1"/>
  <c r="V36" i="1"/>
  <c r="AE35" i="1"/>
  <c r="AB35" i="1"/>
  <c r="Y35" i="1"/>
  <c r="V35" i="1"/>
  <c r="AE34" i="1"/>
  <c r="AB34" i="1"/>
  <c r="Y34" i="1"/>
  <c r="V34" i="1"/>
  <c r="AE33" i="1"/>
  <c r="AB33" i="1"/>
  <c r="Y33" i="1"/>
  <c r="V33" i="1"/>
  <c r="AE32" i="1"/>
  <c r="AB32" i="1"/>
  <c r="Y32" i="1"/>
  <c r="V32" i="1"/>
  <c r="AE31" i="1"/>
  <c r="AB31" i="1"/>
  <c r="Y31" i="1"/>
  <c r="V31" i="1"/>
  <c r="AE29" i="1"/>
  <c r="AB29" i="1"/>
  <c r="Y29" i="1"/>
  <c r="V29" i="1"/>
  <c r="AE28" i="1"/>
  <c r="AB28" i="1"/>
  <c r="Y28" i="1"/>
  <c r="V28" i="1"/>
  <c r="AE27" i="1"/>
  <c r="AB27" i="1"/>
  <c r="Y27" i="1"/>
  <c r="V27" i="1"/>
  <c r="AE25" i="1"/>
  <c r="AB25" i="1"/>
  <c r="Y25" i="1"/>
  <c r="V25" i="1"/>
  <c r="V26" i="1"/>
  <c r="AE18" i="1"/>
  <c r="AB18" i="1"/>
  <c r="Y18" i="1"/>
  <c r="V18" i="1"/>
  <c r="Y19" i="1"/>
  <c r="AB19" i="1"/>
  <c r="AE17" i="1"/>
  <c r="AB17" i="1"/>
  <c r="Y17" i="1"/>
  <c r="V17" i="1"/>
  <c r="AD16" i="1"/>
  <c r="AE16" i="1"/>
  <c r="AA16" i="1"/>
  <c r="AB16" i="1"/>
  <c r="X16" i="1"/>
  <c r="Y16" i="1"/>
  <c r="U16" i="1"/>
  <c r="V16" i="1"/>
  <c r="AD15" i="1"/>
  <c r="AA15" i="1"/>
  <c r="X15" i="1"/>
  <c r="Y15" i="1"/>
  <c r="U15" i="1"/>
  <c r="V15" i="1"/>
  <c r="AE15" i="1"/>
  <c r="AB15" i="1"/>
  <c r="AE14" i="1"/>
  <c r="F7" i="13"/>
  <c r="AB14" i="1"/>
  <c r="E7" i="13"/>
  <c r="Y14" i="1"/>
  <c r="D7" i="13"/>
  <c r="V14" i="1"/>
  <c r="C7" i="13"/>
  <c r="G7" i="13"/>
  <c r="AE13" i="1"/>
  <c r="F6" i="13"/>
  <c r="AB13" i="1"/>
  <c r="E6" i="13"/>
  <c r="Y13" i="1"/>
  <c r="D6" i="13"/>
  <c r="V13" i="1"/>
  <c r="C6" i="13"/>
  <c r="G6" i="13"/>
  <c r="AE12" i="1"/>
  <c r="F5" i="13"/>
  <c r="AB12" i="1"/>
  <c r="E5" i="13"/>
  <c r="E8" i="13" s="1"/>
  <c r="C6" i="2" s="1"/>
  <c r="Y12" i="1"/>
  <c r="D5" i="13"/>
  <c r="V12" i="1"/>
  <c r="C5" i="13"/>
  <c r="G5" i="13" s="1"/>
  <c r="G8" i="13" s="1"/>
  <c r="V51" i="1"/>
  <c r="C4" i="10"/>
  <c r="AF50" i="1"/>
  <c r="V50" i="1"/>
  <c r="AF37" i="1"/>
  <c r="V24" i="1"/>
  <c r="C6" i="15"/>
  <c r="G6" i="15" s="1"/>
  <c r="V23" i="1"/>
  <c r="C5" i="15"/>
  <c r="AE22" i="1"/>
  <c r="F4" i="15"/>
  <c r="AB22" i="1"/>
  <c r="E4" i="15"/>
  <c r="Y22" i="1"/>
  <c r="D4" i="15"/>
  <c r="G4" i="15" s="1"/>
  <c r="G7" i="15" s="1"/>
  <c r="V22" i="1"/>
  <c r="C4" i="15"/>
  <c r="C7" i="15"/>
  <c r="Y21" i="1"/>
  <c r="D6" i="4"/>
  <c r="U19" i="1"/>
  <c r="V19" i="1"/>
  <c r="AF11" i="1"/>
  <c r="AF54" i="1"/>
  <c r="AE20" i="1"/>
  <c r="F5" i="4"/>
  <c r="AB20" i="1"/>
  <c r="E5" i="4"/>
  <c r="Y20" i="1"/>
  <c r="D5" i="4"/>
  <c r="D7" i="4" s="1"/>
  <c r="E5" i="2" s="1"/>
  <c r="V20" i="1"/>
  <c r="C5" i="4"/>
  <c r="Y23" i="1"/>
  <c r="D5" i="15"/>
  <c r="AB23" i="1"/>
  <c r="E5" i="15"/>
  <c r="AE23" i="1"/>
  <c r="F5" i="15"/>
  <c r="G5" i="15"/>
  <c r="AF20" i="1"/>
  <c r="B5" i="11"/>
  <c r="C5" i="11"/>
  <c r="E5" i="11"/>
  <c r="B4" i="11"/>
  <c r="F7" i="12"/>
  <c r="F10" i="12" s="1"/>
  <c r="M7" i="2" s="1"/>
  <c r="F5" i="12"/>
  <c r="E6" i="12"/>
  <c r="E7" i="12"/>
  <c r="E5" i="12"/>
  <c r="G5" i="12" s="1"/>
  <c r="D6" i="12"/>
  <c r="D7" i="12"/>
  <c r="D5" i="12"/>
  <c r="C6" i="12"/>
  <c r="G6" i="12" s="1"/>
  <c r="B5" i="12"/>
  <c r="B6" i="12"/>
  <c r="F6" i="12"/>
  <c r="B7" i="12"/>
  <c r="B8" i="12"/>
  <c r="B9" i="12"/>
  <c r="B4" i="12"/>
  <c r="B5" i="10"/>
  <c r="C5" i="10"/>
  <c r="D5" i="10"/>
  <c r="E5" i="10"/>
  <c r="F5" i="10"/>
  <c r="G5" i="10" s="1"/>
  <c r="B6" i="10"/>
  <c r="C6" i="10"/>
  <c r="D6" i="10"/>
  <c r="E6" i="10"/>
  <c r="E9" i="10" s="1"/>
  <c r="K6" i="2" s="1"/>
  <c r="F6" i="10"/>
  <c r="B7" i="10"/>
  <c r="B8" i="10"/>
  <c r="B4" i="10"/>
  <c r="C9" i="9"/>
  <c r="F9" i="9"/>
  <c r="C10" i="9"/>
  <c r="D10" i="9"/>
  <c r="G10" i="9" s="1"/>
  <c r="E10" i="9"/>
  <c r="C11" i="9"/>
  <c r="F11" i="9"/>
  <c r="B5" i="9"/>
  <c r="B6" i="9"/>
  <c r="B7" i="9"/>
  <c r="B8" i="9"/>
  <c r="B9" i="9"/>
  <c r="B10" i="9"/>
  <c r="B11" i="9"/>
  <c r="B4" i="9"/>
  <c r="B5" i="8"/>
  <c r="C5" i="8"/>
  <c r="E5" i="8"/>
  <c r="B6" i="8"/>
  <c r="C6" i="8"/>
  <c r="G6" i="8" s="1"/>
  <c r="D6" i="8"/>
  <c r="E6" i="8"/>
  <c r="B7" i="8"/>
  <c r="C7" i="8"/>
  <c r="G7" i="8" s="1"/>
  <c r="E7" i="8"/>
  <c r="B8" i="8"/>
  <c r="B9" i="8"/>
  <c r="C9" i="8"/>
  <c r="G9" i="8" s="1"/>
  <c r="D9" i="8"/>
  <c r="E9" i="8"/>
  <c r="F9" i="8"/>
  <c r="B4" i="8"/>
  <c r="B8" i="7"/>
  <c r="B5" i="7"/>
  <c r="B6" i="7"/>
  <c r="C6" i="7"/>
  <c r="C9" i="7" s="1"/>
  <c r="H4" i="2" s="1"/>
  <c r="D6" i="7"/>
  <c r="F6" i="7"/>
  <c r="B7" i="7"/>
  <c r="C8" i="7"/>
  <c r="D8" i="7"/>
  <c r="E8" i="7"/>
  <c r="F8" i="7"/>
  <c r="B4" i="7"/>
  <c r="B5" i="6"/>
  <c r="B6" i="6"/>
  <c r="C6" i="6"/>
  <c r="D6" i="6"/>
  <c r="G6" i="6" s="1"/>
  <c r="E6" i="6"/>
  <c r="F6" i="6"/>
  <c r="B4" i="6"/>
  <c r="B6" i="5"/>
  <c r="B7" i="5"/>
  <c r="B5" i="5"/>
  <c r="B4" i="5"/>
  <c r="B5" i="3"/>
  <c r="B6" i="3"/>
  <c r="B7" i="3"/>
  <c r="B4" i="3"/>
  <c r="B5" i="13"/>
  <c r="B6" i="13"/>
  <c r="B7" i="13"/>
  <c r="B4" i="13"/>
  <c r="G6" i="10"/>
  <c r="G8" i="7"/>
  <c r="C5" i="12"/>
  <c r="F9" i="12"/>
  <c r="G9" i="12" s="1"/>
  <c r="E9" i="12"/>
  <c r="D9" i="12"/>
  <c r="C9" i="12"/>
  <c r="F8" i="12"/>
  <c r="G8" i="12" s="1"/>
  <c r="E8" i="12"/>
  <c r="D8" i="12"/>
  <c r="C8" i="12"/>
  <c r="F5" i="7"/>
  <c r="G5" i="7" s="1"/>
  <c r="E5" i="7"/>
  <c r="C5" i="7"/>
  <c r="AE40" i="1"/>
  <c r="F7" i="8"/>
  <c r="F10" i="8" s="1"/>
  <c r="I7" i="2" s="1"/>
  <c r="Y40" i="1"/>
  <c r="F6" i="8"/>
  <c r="AE38" i="1"/>
  <c r="F5" i="8"/>
  <c r="Y38" i="1"/>
  <c r="D5" i="8"/>
  <c r="G5" i="8" s="1"/>
  <c r="AF38" i="1"/>
  <c r="D7" i="8"/>
  <c r="AF40" i="1"/>
  <c r="D8" i="13"/>
  <c r="AF33" i="1"/>
  <c r="D5" i="7"/>
  <c r="F8" i="9"/>
  <c r="E8" i="9"/>
  <c r="G8" i="9" s="1"/>
  <c r="D8" i="9"/>
  <c r="C8" i="9"/>
  <c r="F6" i="9"/>
  <c r="G6" i="9" s="1"/>
  <c r="E6" i="9"/>
  <c r="D6" i="9"/>
  <c r="C6" i="9"/>
  <c r="F7" i="9"/>
  <c r="E7" i="9"/>
  <c r="D7" i="9"/>
  <c r="C7" i="9"/>
  <c r="G7" i="9"/>
  <c r="AD46" i="1"/>
  <c r="AA46" i="1"/>
  <c r="U46" i="1"/>
  <c r="AE43" i="1"/>
  <c r="AB43" i="1"/>
  <c r="Y43" i="1"/>
  <c r="E11" i="9"/>
  <c r="E9" i="9"/>
  <c r="G9" i="9" s="1"/>
  <c r="D9" i="9"/>
  <c r="AF48" i="1"/>
  <c r="D11" i="9"/>
  <c r="G11" i="9"/>
  <c r="AF49" i="1"/>
  <c r="F10" i="9"/>
  <c r="AF43" i="1"/>
  <c r="F7" i="5"/>
  <c r="E7" i="5"/>
  <c r="D7" i="5"/>
  <c r="C7" i="5"/>
  <c r="F6" i="5"/>
  <c r="E6" i="5"/>
  <c r="E8" i="5" s="1"/>
  <c r="F6" i="2" s="1"/>
  <c r="D6" i="5"/>
  <c r="C6" i="5"/>
  <c r="G7" i="5"/>
  <c r="AF28" i="1"/>
  <c r="AF27" i="1"/>
  <c r="AE26" i="1"/>
  <c r="F5" i="5"/>
  <c r="AB26" i="1"/>
  <c r="E5" i="5"/>
  <c r="Y26" i="1"/>
  <c r="D5" i="5"/>
  <c r="G5" i="5" s="1"/>
  <c r="C5" i="5"/>
  <c r="F4" i="5"/>
  <c r="E4" i="5"/>
  <c r="D4" i="5"/>
  <c r="G4" i="5" s="1"/>
  <c r="C4" i="5"/>
  <c r="AF25" i="1"/>
  <c r="Y24" i="1"/>
  <c r="D6" i="15"/>
  <c r="AB24" i="1"/>
  <c r="E6" i="15"/>
  <c r="E7" i="15" s="1"/>
  <c r="AE24" i="1"/>
  <c r="F6" i="15"/>
  <c r="F7" i="15"/>
  <c r="AF24" i="1"/>
  <c r="F7" i="3"/>
  <c r="E7" i="3"/>
  <c r="D7" i="3"/>
  <c r="C7" i="3"/>
  <c r="G7" i="3" s="1"/>
  <c r="F6" i="3"/>
  <c r="E6" i="3"/>
  <c r="D6" i="3"/>
  <c r="G6" i="3" s="1"/>
  <c r="C6" i="3"/>
  <c r="F5" i="3"/>
  <c r="E5" i="3"/>
  <c r="E8" i="3" s="1"/>
  <c r="D6" i="2" s="1"/>
  <c r="D5" i="3"/>
  <c r="C5" i="3"/>
  <c r="C7" i="12"/>
  <c r="G7" i="12" s="1"/>
  <c r="AF52" i="1"/>
  <c r="F8" i="10"/>
  <c r="F7" i="10"/>
  <c r="E5" i="9"/>
  <c r="D5" i="9"/>
  <c r="C5" i="9"/>
  <c r="F5" i="9"/>
  <c r="G5" i="9" s="1"/>
  <c r="E8" i="10"/>
  <c r="E7" i="10"/>
  <c r="AB30" i="1"/>
  <c r="E5" i="6"/>
  <c r="D8" i="10"/>
  <c r="D7" i="10"/>
  <c r="AF22" i="1"/>
  <c r="B16" i="14"/>
  <c r="B15" i="14"/>
  <c r="B14" i="14"/>
  <c r="B13" i="14"/>
  <c r="B12" i="14"/>
  <c r="B11" i="14"/>
  <c r="B10" i="14"/>
  <c r="B9" i="14"/>
  <c r="B8" i="14"/>
  <c r="B7" i="14"/>
  <c r="B6" i="14"/>
  <c r="V30" i="1"/>
  <c r="C5" i="6"/>
  <c r="C8" i="10"/>
  <c r="G8" i="10"/>
  <c r="C7" i="10"/>
  <c r="G7" i="10" s="1"/>
  <c r="F4" i="12"/>
  <c r="E4" i="12"/>
  <c r="E10" i="12" s="1"/>
  <c r="M6" i="2" s="1"/>
  <c r="E4" i="7"/>
  <c r="C4" i="7"/>
  <c r="F8" i="13"/>
  <c r="C7" i="2" s="1"/>
  <c r="AF63" i="1"/>
  <c r="D4" i="12"/>
  <c r="D10" i="12"/>
  <c r="F5" i="11"/>
  <c r="F4" i="11"/>
  <c r="F7" i="11" s="1"/>
  <c r="L7" i="2" s="1"/>
  <c r="E4" i="11"/>
  <c r="E7" i="11"/>
  <c r="D4" i="11"/>
  <c r="F4" i="10"/>
  <c r="F9" i="10" s="1"/>
  <c r="K7" i="2" s="1"/>
  <c r="E4" i="10"/>
  <c r="D4" i="10"/>
  <c r="D9" i="10" s="1"/>
  <c r="K5" i="2" s="1"/>
  <c r="F4" i="9"/>
  <c r="E4" i="9"/>
  <c r="E12" i="9" s="1"/>
  <c r="J6" i="2" s="1"/>
  <c r="D4" i="9"/>
  <c r="C4" i="9"/>
  <c r="C12" i="9" s="1"/>
  <c r="J4" i="2" s="1"/>
  <c r="F8" i="8"/>
  <c r="E8" i="8"/>
  <c r="D8" i="8"/>
  <c r="C8" i="8"/>
  <c r="G8" i="8" s="1"/>
  <c r="F4" i="8"/>
  <c r="E4" i="8"/>
  <c r="D4" i="8"/>
  <c r="F7" i="7"/>
  <c r="G7" i="7" s="1"/>
  <c r="E7" i="7"/>
  <c r="D7" i="7"/>
  <c r="C7" i="7"/>
  <c r="F4" i="7"/>
  <c r="F9" i="7" s="1"/>
  <c r="H7" i="2" s="1"/>
  <c r="AE30" i="1"/>
  <c r="F5" i="6"/>
  <c r="Y30" i="1"/>
  <c r="D5" i="6"/>
  <c r="G5" i="6" s="1"/>
  <c r="F4" i="6"/>
  <c r="E4" i="6"/>
  <c r="E7" i="6"/>
  <c r="G6" i="2" s="1"/>
  <c r="D4" i="6"/>
  <c r="F8" i="5"/>
  <c r="F7" i="2" s="1"/>
  <c r="C8" i="5"/>
  <c r="AE21" i="1"/>
  <c r="AE19" i="1"/>
  <c r="F4" i="4"/>
  <c r="G4" i="4" s="1"/>
  <c r="E4" i="4"/>
  <c r="E7" i="4"/>
  <c r="F4" i="3"/>
  <c r="F8" i="3"/>
  <c r="E4" i="3"/>
  <c r="D4" i="3"/>
  <c r="D8" i="3"/>
  <c r="D5" i="2" s="1"/>
  <c r="C4" i="3"/>
  <c r="F6" i="4"/>
  <c r="G6" i="4"/>
  <c r="AF21" i="1"/>
  <c r="D10" i="8"/>
  <c r="I5" i="2" s="1"/>
  <c r="G4" i="3"/>
  <c r="E10" i="8"/>
  <c r="I6" i="2" s="1"/>
  <c r="D5" i="11"/>
  <c r="F7" i="6"/>
  <c r="G7" i="2"/>
  <c r="AF34" i="1"/>
  <c r="E6" i="7"/>
  <c r="AF55" i="1"/>
  <c r="C4" i="8"/>
  <c r="AF56" i="1"/>
  <c r="AF23" i="1"/>
  <c r="AF30" i="1"/>
  <c r="D4" i="4"/>
  <c r="AF19" i="1"/>
  <c r="AF18" i="1"/>
  <c r="AF13" i="1"/>
  <c r="AF14" i="1"/>
  <c r="AF12" i="1"/>
  <c r="AF47" i="1"/>
  <c r="AF35" i="1"/>
  <c r="AF39" i="1"/>
  <c r="AF53" i="1"/>
  <c r="AF45" i="1"/>
  <c r="AF57" i="1"/>
  <c r="AF31" i="1"/>
  <c r="AF26" i="1"/>
  <c r="AF32" i="1"/>
  <c r="AF46" i="1"/>
  <c r="AF65" i="1"/>
  <c r="AF16" i="1"/>
  <c r="D4" i="7"/>
  <c r="G4" i="7" s="1"/>
  <c r="AF41" i="1"/>
  <c r="C4" i="11"/>
  <c r="G4" i="11"/>
  <c r="AF17" i="1"/>
  <c r="C4" i="4"/>
  <c r="C4" i="12"/>
  <c r="C10" i="12" s="1"/>
  <c r="M4" i="2" s="1"/>
  <c r="AF51" i="1"/>
  <c r="AF36" i="1"/>
  <c r="C4" i="6"/>
  <c r="AF15" i="1"/>
  <c r="AF62" i="1"/>
  <c r="AF64" i="1"/>
  <c r="AF44" i="1"/>
  <c r="AF42" i="1"/>
  <c r="F7" i="4"/>
  <c r="C10" i="8"/>
  <c r="I4" i="2" s="1"/>
  <c r="I8" i="2" s="1"/>
  <c r="C12" i="14" s="1"/>
  <c r="G4" i="8"/>
  <c r="C7" i="6"/>
  <c r="G4" i="6"/>
  <c r="C7" i="4"/>
  <c r="D7" i="11"/>
  <c r="G5" i="11"/>
  <c r="C7" i="11"/>
  <c r="E9" i="7"/>
  <c r="AG22" i="1"/>
  <c r="AG43" i="1"/>
  <c r="AG29" i="1"/>
  <c r="AG32" i="1"/>
  <c r="G4" i="2"/>
  <c r="AG11" i="1"/>
  <c r="AG37" i="1"/>
  <c r="D7" i="2"/>
  <c r="G7" i="11"/>
  <c r="AG15" i="1"/>
  <c r="C5" i="2"/>
  <c r="E7" i="2"/>
  <c r="M5" i="2"/>
  <c r="L5" i="2"/>
  <c r="L6" i="2"/>
  <c r="H6" i="2"/>
  <c r="E6" i="2"/>
  <c r="E4" i="2"/>
  <c r="F4" i="2"/>
  <c r="AG19" i="1"/>
  <c r="AG57" i="1"/>
  <c r="AG60" i="1"/>
  <c r="AG51" i="1"/>
  <c r="L4" i="2"/>
  <c r="L8" i="2" s="1"/>
  <c r="C15" i="14" s="1"/>
  <c r="G7" i="6" l="1"/>
  <c r="E8" i="2"/>
  <c r="C8" i="14" s="1"/>
  <c r="M8" i="2"/>
  <c r="C16" i="14" s="1"/>
  <c r="G10" i="8"/>
  <c r="G9" i="7"/>
  <c r="G6" i="7"/>
  <c r="D7" i="6"/>
  <c r="G5" i="2" s="1"/>
  <c r="G8" i="2" s="1"/>
  <c r="C10" i="14" s="1"/>
  <c r="C8" i="3"/>
  <c r="D4" i="2" s="1"/>
  <c r="D8" i="2" s="1"/>
  <c r="C7" i="14" s="1"/>
  <c r="G4" i="9"/>
  <c r="G12" i="9" s="1"/>
  <c r="D8" i="5"/>
  <c r="F5" i="2" s="1"/>
  <c r="F8" i="2" s="1"/>
  <c r="C9" i="14" s="1"/>
  <c r="D12" i="9"/>
  <c r="J5" i="2" s="1"/>
  <c r="J8" i="2" s="1"/>
  <c r="C13" i="14" s="1"/>
  <c r="F12" i="9"/>
  <c r="J7" i="2" s="1"/>
  <c r="G5" i="3"/>
  <c r="G8" i="3" s="1"/>
  <c r="D7" i="15"/>
  <c r="G6" i="5"/>
  <c r="G8" i="5" s="1"/>
  <c r="G5" i="4"/>
  <c r="G7" i="4" s="1"/>
  <c r="G4" i="12"/>
  <c r="G10" i="12" s="1"/>
  <c r="G4" i="10"/>
  <c r="G9" i="10" s="1"/>
  <c r="C8" i="13"/>
  <c r="C4" i="2" s="1"/>
  <c r="C8" i="2" s="1"/>
  <c r="D9" i="7"/>
  <c r="H5" i="2" s="1"/>
  <c r="H8" i="2" s="1"/>
  <c r="C11" i="14" s="1"/>
  <c r="C9" i="10"/>
  <c r="K4" i="2" s="1"/>
  <c r="K8" i="2" s="1"/>
  <c r="C14" i="14" s="1"/>
  <c r="N4" i="2" l="1"/>
  <c r="C6" i="14"/>
</calcChain>
</file>

<file path=xl/sharedStrings.xml><?xml version="1.0" encoding="utf-8"?>
<sst xmlns="http://schemas.openxmlformats.org/spreadsheetml/2006/main" count="1245" uniqueCount="580">
  <si>
    <t>OBJETIVO ESTRATÉGICO INSTITUCIONAL</t>
  </si>
  <si>
    <t>RELACIÓN CON LA POLÍTICA DE CALIDAD</t>
  </si>
  <si>
    <t>OBJETIVO DE CALIDAD</t>
  </si>
  <si>
    <t>RESPONSABLE</t>
  </si>
  <si>
    <t>DEPENDENCIA(S) ASOCIADA(S)</t>
  </si>
  <si>
    <t>ACTIVIDAD</t>
  </si>
  <si>
    <t>INDICADORES</t>
  </si>
  <si>
    <t>PONDERACIÓN DENTRO DEL PROCESO</t>
  </si>
  <si>
    <t>FRECUENCIA</t>
  </si>
  <si>
    <t>MEDICIÓN 
TRIMESTRE I</t>
  </si>
  <si>
    <t>MEDICIÓN 
TRIMESTRE II</t>
  </si>
  <si>
    <t>MEDICIÓN 
TRIMESTRE III</t>
  </si>
  <si>
    <t>MEDICIÓN 
TRIMESTRE IV</t>
  </si>
  <si>
    <t>PORCENTAJE  DE CUMPLIMIENTO ACUMULADO (Total acumulado *100 / Meta).</t>
  </si>
  <si>
    <t>PORCENTAJE POR DEPENDENCIAS</t>
  </si>
  <si>
    <t>DIMENSIÓN DE MIPG</t>
  </si>
  <si>
    <t>POLITÍCA DE LA DIMENSIÓN</t>
  </si>
  <si>
    <t>NOMBRE DEL INDICADOR</t>
  </si>
  <si>
    <t>PROPÓSITO DEL INDICADOR</t>
  </si>
  <si>
    <t>FÓRMULA</t>
  </si>
  <si>
    <t>UNIDAD DE MEDIDA</t>
  </si>
  <si>
    <t>TIPO DE INDICADOR</t>
  </si>
  <si>
    <t>LÍNEA BASE (PUNTO  DE PARTIDA)</t>
  </si>
  <si>
    <t>REFERENCIA PARA DEFINICIÓN DE LÍNEA BASE</t>
  </si>
  <si>
    <t>Cuándo se mide</t>
  </si>
  <si>
    <t>Cuándo inicia</t>
  </si>
  <si>
    <t>Cuándo finaliza</t>
  </si>
  <si>
    <t>EJECUTADO</t>
  </si>
  <si>
    <t>PROGRAMADO</t>
  </si>
  <si>
    <t>Incrementar la satisfacción y fidelización de nuestros afiliados</t>
  </si>
  <si>
    <t xml:space="preserve">Atender las PQRSDF dentro de los términos legales. </t>
  </si>
  <si>
    <t>Porcentaje</t>
  </si>
  <si>
    <t>Eficacia</t>
  </si>
  <si>
    <t>N/A</t>
  </si>
  <si>
    <t>Trimestral</t>
  </si>
  <si>
    <t>Gestión con valores para resultados</t>
  </si>
  <si>
    <t>Servicio al cuidadano</t>
  </si>
  <si>
    <t>Oficina de Prensa y Atención al Cliente</t>
  </si>
  <si>
    <t>Eficiencia</t>
  </si>
  <si>
    <t>Resultado del año inmediatamente anterior.</t>
  </si>
  <si>
    <t>Efectividad vinculaciones</t>
  </si>
  <si>
    <t>Cantidad</t>
  </si>
  <si>
    <t>Estableciendo lineamientos y cumpliendo con los requisitos aplicables al otorgamiento de créditos y planes de bienestar social en el ámbito departamental</t>
  </si>
  <si>
    <t>Mejorar la calidad del servicio en oportunidad, seguridad, confiabilidad y asesoría adecuada</t>
  </si>
  <si>
    <t>Afiliados beneficiados con programas de bienestar social  (capacitaciones, recreación, promoción)</t>
  </si>
  <si>
    <t>Medir el porcentaje de afiliados beneficiados con los servicios de bienestar que presta la Corporación</t>
  </si>
  <si>
    <t>Resultado del año anterior.</t>
  </si>
  <si>
    <t>Resultado de la meta propuesta en el plan de desarrollo</t>
  </si>
  <si>
    <t xml:space="preserve">Número de municipios cundinamarqueses visitados por el  Grupo de Asesores Comerciales *100 /
número de municipios cundinamarqueses programados visitar </t>
  </si>
  <si>
    <t xml:space="preserve">Eficacia de subsidios educativos </t>
  </si>
  <si>
    <t>Medir el número de entregas de subsidios educativos a los afiliados que ya cuentan con el beneficio de este programa</t>
  </si>
  <si>
    <t xml:space="preserve">Colocación de créditos. </t>
  </si>
  <si>
    <t>Avance en la colocación de créditos</t>
  </si>
  <si>
    <t>Garantizar el cumplimiento de la meta del Plan de desarrollo (Meta total del cuatrienio: 8000 créditos)</t>
  </si>
  <si>
    <t>Número de créditos desembolsados en el periodo  * 100 /
Número de créditos programados para desembolsar en el periodo</t>
  </si>
  <si>
    <t>Oportunidad en la gestión de otorgamiento créditos hipotecarios.</t>
  </si>
  <si>
    <t>Verificar el cumplimiento de los términos establecidos para el desembolso de créditos hipotecarios (una vez se encuentren radicados los documentos para iniciar el trámite).</t>
  </si>
  <si>
    <t>Asegurar el cumplimiento de tiempos en el Crédito de consumo.</t>
  </si>
  <si>
    <t>Oportunidad en la gestión de otorgamiento créditos no hipotecarios.</t>
  </si>
  <si>
    <t>Verificar el cumplimiento de los términos establecidos para el desembolso de créditos no hipotecarios (una vez se encuentren radicados los documentos para iniciar el trámite).</t>
  </si>
  <si>
    <t>* Subgerencia de Servicios Corporativos.
* Dirección de cartera y ahorros</t>
  </si>
  <si>
    <t xml:space="preserve">Mantener el mayor porcentaje posible de saldo de cartera de la entidad en calificación A. </t>
  </si>
  <si>
    <t xml:space="preserve">Efectividad </t>
  </si>
  <si>
    <t>Resultado año anterior</t>
  </si>
  <si>
    <t xml:space="preserve">Aplicar el total del valor recaudado de las diferentes pagadurías. </t>
  </si>
  <si>
    <t>Oportunidad en la aplicación del recaudo</t>
  </si>
  <si>
    <t xml:space="preserve">Garantizar el desglose total del valor recaudado de las diferentes pagadurías </t>
  </si>
  <si>
    <t>Valor desglosado en el periodo *100 / Valor recaudado en el periodo</t>
  </si>
  <si>
    <t>Contando con colaboradores y proveedores idóneos</t>
  </si>
  <si>
    <t>Evaluar el desempeño de los proveedores externos para que cumplan con los requisitos</t>
  </si>
  <si>
    <t>Realizar la  gestión contractual acorde con la programación establecida en el Plan Anual de Adquisiciones</t>
  </si>
  <si>
    <t>Seguimiento PAA</t>
  </si>
  <si>
    <t>Hacer seguimiento a la gestión contractual acorde con la programación establecida en el Plan Anual de Adquisiciones</t>
  </si>
  <si>
    <t>Efectividad</t>
  </si>
  <si>
    <t>Direccionamineto estratégico</t>
  </si>
  <si>
    <t>Compras y contratación pública</t>
  </si>
  <si>
    <t xml:space="preserve">Reevaluación a proveedores </t>
  </si>
  <si>
    <t>Hacer seguimiento a la evaluación y reevaluación de los proveedores.</t>
  </si>
  <si>
    <t>Reevaluación de los proveedores en el periódo* 100/Número de contratos suscritos a reevaluar.</t>
  </si>
  <si>
    <t>La Corporación Social de Cundinamarca mejora el Sistema de Gestión de Calidad y asegura su integración con los componentes del MECI</t>
  </si>
  <si>
    <t>Generar acciones de mejora continua para optimizar los procesos</t>
  </si>
  <si>
    <t>Semestral</t>
  </si>
  <si>
    <t>1. Gestión con valores para resultados.       2. Información y comunicación</t>
  </si>
  <si>
    <t>1. Gobierno digítal y seguridad digítal.                 2. Transparencia y acceso a la información</t>
  </si>
  <si>
    <t>Seguimiento y Publicación de planes anuales de gestión de la información.</t>
  </si>
  <si>
    <t>Ejecución del PINAR</t>
  </si>
  <si>
    <t xml:space="preserve">Contando con colaboradores y proveedores idóneos </t>
  </si>
  <si>
    <t>Garantizar los recursos para la rentabilidad y sostenibilidad de la Entidad</t>
  </si>
  <si>
    <t xml:space="preserve">Número de actividades realizadas de acuedo al cronograma *100/ Número de actividades  Programadas de acuerdo al cronograma </t>
  </si>
  <si>
    <t>Cronograma de actividades</t>
  </si>
  <si>
    <t>Direccionamiento estratégico y gestión con valores para el resultado</t>
  </si>
  <si>
    <t>Planeación institucional, de fortalecimiento organizacional y simplificación del proceso.</t>
  </si>
  <si>
    <t>Solicitudes de las Dependencias</t>
  </si>
  <si>
    <t>Inventarios de bienes muebles  individuales</t>
  </si>
  <si>
    <t># de  inventarios Individuales actualizados*100/ # de funcionarios entidad</t>
  </si>
  <si>
    <t xml:space="preserve"> Inventario puestos de trabajo y elementos exportado del software de inventarios por cada funcionario. </t>
  </si>
  <si>
    <t xml:space="preserve">Verificar los elementos de consumo y devolutivos de acuerdo al reporte generado por Novasoft frente al fisico. </t>
  </si>
  <si>
    <t xml:space="preserve">Reporte del software
Informe de consumos y devolutivos </t>
  </si>
  <si>
    <t>Potencializar el talento humano con el fin de fortalecer sus competencias</t>
  </si>
  <si>
    <t>Ejecutar y hacer seguimiento a las capacitaciones previstas en el cronograma de actividades</t>
  </si>
  <si>
    <t>Plan institucional de capacitación</t>
  </si>
  <si>
    <t>Talento humano y gestión del conocimiento</t>
  </si>
  <si>
    <t>Elaborar y realizar el seguimiento al Plan de Bienestar e incentivos de la CSC ajustado a los lineamientos normativos, conceptuales y dimensiones estratégicas adoptadas como resultado del diagnóstico institucional.</t>
  </si>
  <si>
    <t xml:space="preserve"> Realizar seguimiento al cronograma de actividades de bienestar </t>
  </si>
  <si>
    <t>Mi MIPG se articula y complementa con este sistema, además de los sistemas de servicio al ciudadano, gestión ambiental y de seguridad de la información entre otros.</t>
  </si>
  <si>
    <t>Ejecutar y hacer seguimiento al cronograma de actividades señaladas  en el programa SGSST</t>
  </si>
  <si>
    <t xml:space="preserve">Talento humano </t>
  </si>
  <si>
    <t>Talento humano e integridad</t>
  </si>
  <si>
    <t xml:space="preserve">Liquidación de Nómina </t>
  </si>
  <si>
    <t>Aplicación correcta y oportuna de novedades en liquidación de nómina</t>
  </si>
  <si>
    <t>Realizar trámite de recobro de incapacidades ante las EPSs</t>
  </si>
  <si>
    <t>Reporte mensual de recobros ante EPS.</t>
  </si>
  <si>
    <t>Hacer seguimiento al trámite de recobro de incapacidades ante las EPSs</t>
  </si>
  <si>
    <t>Realizar las evaluaciones de desempeño y de rendimiento laboral de la CSC</t>
  </si>
  <si>
    <t>Seguimiento a las evaluaciones de desempeño y de rendimiento laboral de la CSC</t>
  </si>
  <si>
    <t>Suscripción de los acuerdos de gestión y seguimiento a su cumplimiento</t>
  </si>
  <si>
    <t xml:space="preserve">Acuerdos de Gestión </t>
  </si>
  <si>
    <t>Seguimiento al cumplimiento de los acuerdos de gestión suscritos</t>
  </si>
  <si>
    <t>No. de seguimientos realizados *100/ Seguimientos programados</t>
  </si>
  <si>
    <t>Asignando los recursos necesarios</t>
  </si>
  <si>
    <t>Verificar el comportamiento del presupuesto en cuanto al recaudo con el fin de determinar  el porcentaje  en cada trimestre</t>
  </si>
  <si>
    <t>Gestión presupuestal - eficiencia del gasto público</t>
  </si>
  <si>
    <t>Registro de ingresos mensual</t>
  </si>
  <si>
    <t>Valor recaudo mensual / presupuesto aprobado * 100</t>
  </si>
  <si>
    <t>Porcentual</t>
  </si>
  <si>
    <t>Anual</t>
  </si>
  <si>
    <t xml:space="preserve">Registrar en el sistema los egresos correspondiente a las obligaciones contraidas por la entidad. </t>
  </si>
  <si>
    <t>Registro de egresos mensual</t>
  </si>
  <si>
    <t>Valor egresos mensual / presupuesto aprobado * 100</t>
  </si>
  <si>
    <t>Oficina Asesora Jurídica</t>
  </si>
  <si>
    <t xml:space="preserve">Impulsar la actividad procesal de las obligaciones que se  encuentren en cobro jurídico  entregadas a los abogados externos. </t>
  </si>
  <si>
    <t>Defensa jurídica</t>
  </si>
  <si>
    <t>Manual de la política del daño antijuridico y sus lineamientos</t>
  </si>
  <si>
    <t>semestral</t>
  </si>
  <si>
    <t>Control interno</t>
  </si>
  <si>
    <t>Oficina de Control Interno</t>
  </si>
  <si>
    <t xml:space="preserve">Planear y ejecutar el Plan anual de auditorías interna Integral de acuerdo al cronograma </t>
  </si>
  <si>
    <t>eficacia</t>
  </si>
  <si>
    <t>trimestral</t>
  </si>
  <si>
    <t>eficiencia</t>
  </si>
  <si>
    <t>Informes de ley publicados en la pagina web</t>
  </si>
  <si>
    <t xml:space="preserve">trimestral </t>
  </si>
  <si>
    <t>Realizar  seguimiento a las acciones de mejora y correctivas de la entidad</t>
  </si>
  <si>
    <t xml:space="preserve">Cumplir con la normatividad vigente  </t>
  </si>
  <si>
    <t>Realizar Campañas de Autocontrol que armonicen la 7ma dimensión de MIPG</t>
  </si>
  <si>
    <t>Campañas de Autocontrol al año</t>
  </si>
  <si>
    <t>Realizar seguimiento a la plataforma SIA OBSERVA</t>
  </si>
  <si>
    <t>Seguimiento a la plataforma SIA OBSERVA y publicado en la pagina de la CSC</t>
  </si>
  <si>
    <t xml:space="preserve">Actividades ejecutadas según cronograma *100 / Actividades programadas según cronograma  </t>
  </si>
  <si>
    <t>Procesos</t>
  </si>
  <si>
    <t>Atención al Cliente</t>
  </si>
  <si>
    <t>Bienestar</t>
  </si>
  <si>
    <t>Crédito y Cartera</t>
  </si>
  <si>
    <t>Gestión Contractual</t>
  </si>
  <si>
    <t>Gestión de la Información</t>
  </si>
  <si>
    <t xml:space="preserve">Gestión de Recursos Físicos </t>
  </si>
  <si>
    <t>Gestión del Talento Humano</t>
  </si>
  <si>
    <t>Gestión Financiera</t>
  </si>
  <si>
    <t>Gestión Jurídica</t>
  </si>
  <si>
    <t>Cumplimiento en % 1er trimestre</t>
  </si>
  <si>
    <t>Cumplimiento en % 2do trimestre</t>
  </si>
  <si>
    <t>Cumplimiento % en 3er trimestre</t>
  </si>
  <si>
    <t>Cumplimiento % en 4to trimestre</t>
  </si>
  <si>
    <t>PROCESO DE ATENCIÓN AL CLIENTE</t>
  </si>
  <si>
    <t xml:space="preserve">Nombre de la actividad </t>
  </si>
  <si>
    <t>1er trimestre</t>
  </si>
  <si>
    <t>2do trimestre</t>
  </si>
  <si>
    <t>3er trimestre</t>
  </si>
  <si>
    <t>4to trimestre</t>
  </si>
  <si>
    <t>Cumplimiento x trimestre</t>
  </si>
  <si>
    <t>PROCESO DE BIENESTAR</t>
  </si>
  <si>
    <t>PROCESO DE CRÉDITO Y CARTERA</t>
  </si>
  <si>
    <t>PROCESO DE GESTIÓN CONTRACTUAL</t>
  </si>
  <si>
    <t>PROCESO DE GESTIÓN DE LA INFORMACIÓN</t>
  </si>
  <si>
    <t>PROCESO DE GESTIÓN DE RECURSOS FÍSICOS</t>
  </si>
  <si>
    <t>PROCESO DE GESTIÓN DE TALENTO HUMANO</t>
  </si>
  <si>
    <t xml:space="preserve">Elaborar, implementar y realizar seguimiento el Plan Institucional de Capacitación  (PIC) para los funcionarios de la CSC </t>
  </si>
  <si>
    <t>PROCESO DE GESTIÓN FINANCIERA</t>
  </si>
  <si>
    <t>PROCESO DE GESTIÓN JURÍDICA</t>
  </si>
  <si>
    <t xml:space="preserve">Ejecutar el total de las actividades señaladas en el plan de bienestar e incentivos de la CSC. </t>
  </si>
  <si>
    <t xml:space="preserve">Informes publicados en la página web de la entidad  * 100 / cronograma de informes internos  </t>
  </si>
  <si>
    <t>Primer seguimiento año 2023</t>
  </si>
  <si>
    <t>Cumplimiento a diciembre del 2023</t>
  </si>
  <si>
    <t>Seguimiento al cronograma de actividades del plan de comunicaciones</t>
  </si>
  <si>
    <t>Porcentaje de calificación a MIPG por medio del FURAG (Función Pública)</t>
  </si>
  <si>
    <t>Evaluar el nivel de avance en el Modelo Integrado de Planeación y Gestión de la CSC</t>
  </si>
  <si>
    <t>Rendición de cuenta a contraloria SIA observa</t>
  </si>
  <si>
    <t>Seguimiento al Plan de Comunicaciones de la CSC</t>
  </si>
  <si>
    <t>Seguimiento y evaluación al Plan de Comunicaciones de la CSC</t>
  </si>
  <si>
    <t>Publicar a los entes de control del SIA observa</t>
  </si>
  <si>
    <t>Elaborar y/o actualizar el Plan institucional de Gestión Ambiental y publicarlo en la página web de la Entidad</t>
  </si>
  <si>
    <t>Direccionamiento estratégico y Planeación</t>
  </si>
  <si>
    <t>Planeación institucional</t>
  </si>
  <si>
    <t>Informe de Inspección preoperativa del parque automotor de la entidad. Dos mantenimientos al año.</t>
  </si>
  <si>
    <t>Jefe de oficina de control interno</t>
  </si>
  <si>
    <t xml:space="preserve">Cumplir con la planeación propuesta en el Plan anual de auditorías interna Integral </t>
  </si>
  <si>
    <t>Seguimiento y actualización al Sistema de trámites de CSC en la Plataforma de la Función Pública</t>
  </si>
  <si>
    <t>NA</t>
  </si>
  <si>
    <t>Número de campañas de autocontol realizadas  * 100 /Número de campañas de autocontrol programadas.</t>
  </si>
  <si>
    <t>Versión: 03</t>
  </si>
  <si>
    <t xml:space="preserve">Código: CSC-DE-FR-06		</t>
  </si>
  <si>
    <t>Proceso Estrategico
Direccionamiento Estrategico</t>
  </si>
  <si>
    <t>Plan de Acción</t>
  </si>
  <si>
    <t>Vigencia:</t>
  </si>
  <si>
    <t>PLAN DE DESARROLLO</t>
  </si>
  <si>
    <t>Establecer lineas de acción a corto, mediano y largo plazo que permitan cumplir con los compromisos y objetivos de la Entidad.</t>
  </si>
  <si>
    <t xml:space="preserve">SEGUIMIENTO </t>
  </si>
  <si>
    <t>Gerencia
Planeación</t>
  </si>
  <si>
    <t>Asesor de Gerencia 
(Grupo de Planeación)</t>
  </si>
  <si>
    <t>ESTRATÉGICO
Direccionamiento Estratégico</t>
  </si>
  <si>
    <t>Seguimiento y consolidación del Formulario Único de Reporte de Avances de la Gestión "FURAG" y evaluación del Modelo Integrado de Planeación y Gestión  "MIPG"</t>
  </si>
  <si>
    <t>Seguimiento a los 12 planes del Decreto 612 de 2018</t>
  </si>
  <si>
    <t>Seguimiento al cronograma de actividades de los 12 planes del Decreto 612 de 2018</t>
  </si>
  <si>
    <t>Responsable:</t>
  </si>
  <si>
    <t>Seguimiento y publicación del plan de acción de la Corporación Social de Cundinamarca</t>
  </si>
  <si>
    <t>PROCESO AL QUE PERTENENCE EN LA ENTIDAD</t>
  </si>
  <si>
    <t>META 
(Qué se pretende lograr?)</t>
  </si>
  <si>
    <t xml:space="preserve">Elaborar y hacer seguimiento al Plan Anual de mantenimiento infraestructura física </t>
  </si>
  <si>
    <t>Aumentar la felicidad y satisfacción en la prestación del servicio a los
afiliados</t>
  </si>
  <si>
    <t>MISIONAL
 Atención al Cliente</t>
  </si>
  <si>
    <t>Jefe Oficina de Prensa y atención cliente</t>
  </si>
  <si>
    <t>Porcentaje de respuesta oportuna a PQRSDF</t>
  </si>
  <si>
    <t>Fecha: Mayo 30 de 2023</t>
  </si>
  <si>
    <t>Total al 31 diciembre-2023</t>
  </si>
  <si>
    <t>Plan de acción 2023</t>
  </si>
  <si>
    <t>PROCESO DE DIRECCIONAMIENTO ESTRATEGICO</t>
  </si>
  <si>
    <t xml:space="preserve">Direccionamiento Estrategico </t>
  </si>
  <si>
    <t xml:space="preserve">Gestion del mejoramiento </t>
  </si>
  <si>
    <t>PROCESO DE GESTION DEL MEJORAMIENTO</t>
  </si>
  <si>
    <t>Realizar el seguimiento al avance de actividades propuestas en los planes</t>
  </si>
  <si>
    <t>Realizar el seguimiento y actualización al Sistema de trámites de CSC</t>
  </si>
  <si>
    <t>Realizar el seguimiento, evaluación y publicación del Plan de acción CSC</t>
  </si>
  <si>
    <t>MISIONAL
Bienestar</t>
  </si>
  <si>
    <t>Mejora el Sistema de Gestión de
Calidad y asegura si integración con el Modelo Integrado de Planeación y
Gestión,</t>
  </si>
  <si>
    <t xml:space="preserve">*Subgerencia de Servicios Corporativos.
</t>
  </si>
  <si>
    <t>Subgerente de Servicios Corporativos
Profesional Universitario  (Bienestar).</t>
  </si>
  <si>
    <t>*Subgerencia de Servicios Corporativos.</t>
  </si>
  <si>
    <t>1er. trimestre</t>
  </si>
  <si>
    <t>2do. trimestre</t>
  </si>
  <si>
    <t>3er. trimestre</t>
  </si>
  <si>
    <t>4to. trimestre</t>
  </si>
  <si>
    <t xml:space="preserve"> Subgerencia de Servicios Corporativos.</t>
  </si>
  <si>
    <t xml:space="preserve"> Profesional de crédito</t>
  </si>
  <si>
    <t>Profesional de Cartera</t>
  </si>
  <si>
    <t xml:space="preserve">APOYO
Gestión Contractual </t>
  </si>
  <si>
    <t>Jefe de la Oficina de Contratación</t>
  </si>
  <si>
    <t>APOYO
Gestión de la Información</t>
  </si>
  <si>
    <t xml:space="preserve">*Subgerencia Administrativa y financiera 
</t>
  </si>
  <si>
    <t>APOYO
Gestión de Recursos Fisicos</t>
  </si>
  <si>
    <t>Subgerencia Administrativa y Financiera</t>
  </si>
  <si>
    <t>APOYO
Gestión del Talento Humano</t>
  </si>
  <si>
    <t>Potencializar el talento humano con el fin de fortalecer sus competencias
y
Generar acciones de mejora continua para optimizar los procesos</t>
  </si>
  <si>
    <t>APOYO
Gestión Financiera</t>
  </si>
  <si>
    <t>*Subgerente Administrativo y Financiero. 
*Tesorero General</t>
  </si>
  <si>
    <t>APOYO
Gestión Juridica</t>
  </si>
  <si>
    <t>Jefe de la Oficina Jurídica</t>
  </si>
  <si>
    <t>PROCESO DE EVALUACIÓN
Gestión del Mejoramiento</t>
  </si>
  <si>
    <t>La Corporación Social de Cundinamarca mejora el Sistema de Gestión de Calidad y asegura si integración con el Modelo Integrado de Planeación y
Gestiónntes del MECI</t>
  </si>
  <si>
    <t xml:space="preserve">Cumplimiento del Plan de Acción </t>
  </si>
  <si>
    <t>Reportes de Elementos  de consumo y devolutivos</t>
  </si>
  <si>
    <t xml:space="preserve">Cumplir con los 9 informes que debe publicar en la página web de la entidad </t>
  </si>
  <si>
    <t>El grupo de Planeación como segunda línea de defensa, no logro evidenciar los seguimientos realizados por la oficina de Control Interno a esta plataforma, teniendo en cuenta que con corte al 12 de enero de 2024, no se encuentran evidencias de los mismos en la siguiente ruta de la calidad: \\Mainserver2\sgc\01_PROCESOS ESTRATEGICOS\DIRECCIONAMIENTO ESTRATÉGICO\05_PLANES\PLAN DE ACCION\2023\EVIDENCIAS\2. TRIMESTRE\13. GESTION DEL MEJORAMIENTO</t>
  </si>
  <si>
    <t>Medir la satisfacción de los clientes mínimo del 70% de la población atendida respecto de los servicios y/o productos ofrecidos por la CSC</t>
  </si>
  <si>
    <t xml:space="preserve">Medir la satisfacción del cliente externo, mínimo del 70% de la población atendida </t>
  </si>
  <si>
    <t>Realizar seguimiento al autodiagnóstico de Talento Humano fortaleciendo las rutas con menor calificación</t>
  </si>
  <si>
    <t>Fortalecer la ruta del autodiagnostico de talento humano con menor calificación</t>
  </si>
  <si>
    <t>Seguimiento Autodiagnóstico Talento Humano</t>
  </si>
  <si>
    <t>Calificación</t>
  </si>
  <si>
    <t>79.5</t>
  </si>
  <si>
    <t>Autodiagnóstico 2023</t>
  </si>
  <si>
    <t>&gt;80</t>
  </si>
  <si>
    <t xml:space="preserve">Número de incapacidades trámitadas ante EPS *100/ Número de incapacidades radicadas en oficina </t>
  </si>
  <si>
    <t xml:space="preserve">Trimestral </t>
  </si>
  <si>
    <t>Número de casos de mantenimientos correctivos solucionados / Número de casos de mantenimiento presentados *100</t>
  </si>
  <si>
    <t>Cantidad de equipos e infraestructura tecnológica adquirida *100/ Cantidad de equipos  e infraestructura requerida</t>
  </si>
  <si>
    <t xml:space="preserve">Porcentaje de ejecución presupuesto de Ingresos </t>
  </si>
  <si>
    <t>Porcentaje de ejecución presupuesto de Gastos</t>
  </si>
  <si>
    <t>Resultado total de la evaluación de MIPG a través del FURAG mayor a 90%</t>
  </si>
  <si>
    <t>Año 2023</t>
  </si>
  <si>
    <t>Seguimientos programados por la Función pública a los trámites de la CSC / los programados</t>
  </si>
  <si>
    <t>Realizar los seguimientos a los planes de mejoramiento aprobados por la Contraloría Departamental</t>
  </si>
  <si>
    <t>Realizar los seguimientos a los Planes de Mejoramiento dando cumplimiento a los términos de la Resolución 0278 de 2021 de la Contraloría Departamental</t>
  </si>
  <si>
    <t>No. de solicitudes recibidas de los procesos*100 / No. de solicitudes enviadas a los procesos</t>
  </si>
  <si>
    <t>No de reportes generados*100/ # de reportes programados.</t>
  </si>
  <si>
    <t>Número de informes realizados / No de informes programados</t>
  </si>
  <si>
    <t xml:space="preserve">Total de actividades ejecutadas en el trimestre / Número de actividades planteadas en el plan </t>
  </si>
  <si>
    <t>Promedio de años anteriores</t>
  </si>
  <si>
    <t xml:space="preserve">Créditos no hipotecarios desembolsados  en máximo 15 días (tiempos de trámites internos de CSC) * 100  /  Total créditos no hipotecarios desembolsados.
</t>
  </si>
  <si>
    <t>Indice de cartera en estado persuasivo</t>
  </si>
  <si>
    <t>Mantener la cartera en el estado preventivo evitando que esta pase a estado persuasivo</t>
  </si>
  <si>
    <t>Saldo de cartera vencida (diferente a A) *100 / Saldo total de cartera.
(excluir cuentas de orden)</t>
  </si>
  <si>
    <t>Saldo de cartera vencida en estado persuasivo *100 / Saldo total de cartera.
(excluir cuentas de orden)</t>
  </si>
  <si>
    <t>&lt;2%</t>
  </si>
  <si>
    <t>Matriz consolidación de seguimiento a evaluaciones de desempeño</t>
  </si>
  <si>
    <t xml:space="preserve">
No. de actividades ejecutadas*100/ No. de actividades programadas según cronograma</t>
  </si>
  <si>
    <t>No. de mantenimientos realizados *100/No.de mantenimientos programados en cronograma</t>
  </si>
  <si>
    <t xml:space="preserve">Seguimiento a la necesidad de  compra de elementos de consumo y papelería de la entidad por los diferentes procesos 
</t>
  </si>
  <si>
    <t>Elaborar y hacer seguimiento al estudio de la necesidad de compra de elementos de consumo y papelería de la entidad</t>
  </si>
  <si>
    <t>Gestión de mantenimientos preventivos</t>
  </si>
  <si>
    <t>Evaluar el cumplimiento de los mantenimientos preventivos  de los equipos de cómputo, impresoras, scanner y equipo de la red de la entidad</t>
  </si>
  <si>
    <t>Realizar mantenimiento preventivo a los equipos de cómputo, impresoras, scanner y equipo de la red de la entidad</t>
  </si>
  <si>
    <t>Plan de mejoramiento entregado en 2023</t>
  </si>
  <si>
    <t>Auditoría Integral de la Contraloría de Cundinamarca 2023</t>
  </si>
  <si>
    <t>el numero de campañas realizadas en el 2023</t>
  </si>
  <si>
    <t>Resultados FURAG 2022</t>
  </si>
  <si>
    <t xml:space="preserve">Número de seguimientos, evaluación y publicación del Plan de acción / Número de trimestres en el año </t>
  </si>
  <si>
    <t>2024</t>
  </si>
  <si>
    <t>Resultados 2023</t>
  </si>
  <si>
    <t>Valor Recaudado Trimestre  / Valor Proyectado en el trimestre * 100</t>
  </si>
  <si>
    <t xml:space="preserve">No. de  informes presentados trimestralmente / No. de informes proyectados trimestralmente  * 100
</t>
  </si>
  <si>
    <t>Número de contratos celebrados * 100 / Total de contratos previstos en el PAA</t>
  </si>
  <si>
    <t xml:space="preserve">* Oficina asesora de contratación. </t>
  </si>
  <si>
    <t>Equipo de Planeación</t>
  </si>
  <si>
    <t>GOBERNANDO: MÁS QUE UN PLAN!</t>
  </si>
  <si>
    <t>Mejora el Sistema de Gestión de
Calidad y asegura su integración con el Modelo Integrado de Planeación y
Gestión.</t>
  </si>
  <si>
    <t>&gt; 90</t>
  </si>
  <si>
    <t xml:space="preserve">Número de informes de seguimiento realizados a los Planes del Decreto 612 de 2018 / Total de informes de seguimiento programado a los Planes del Decreto 612 de 2018 </t>
  </si>
  <si>
    <t>Efectividad al seguimiento del plan de acción</t>
  </si>
  <si>
    <t>Jefe Oficina de Prensa y Atención Cliente</t>
  </si>
  <si>
    <t>Evaluar la efectividad de la gestión de vinculaciones realizadas</t>
  </si>
  <si>
    <t>Proporcional al trimestre</t>
  </si>
  <si>
    <t>Indice de cartera vencida</t>
  </si>
  <si>
    <t>* Subgerencia de Servicios Corporativos.
* Dirección de cartera y ahorros
* Oficina Asesora Jurídica</t>
  </si>
  <si>
    <t xml:space="preserve">Disminuir el porcentaje de cartera vencida por debajo del 24%. </t>
  </si>
  <si>
    <t>&lt; 24%</t>
  </si>
  <si>
    <t>Disminuir el porcentaje de cartera en estado pre-jurídico</t>
  </si>
  <si>
    <t>Indice de cartera en estado pre-jurídico</t>
  </si>
  <si>
    <t>Mantener la cartera en el estado persuasivo evitando que esta pase a estado pre - jurídico</t>
  </si>
  <si>
    <t>Saldo de cartera vencida en estado pre-jurídico *100 / Saldo total de cartera.
(excluir cuentas de orden)</t>
  </si>
  <si>
    <t>Hacer seguimiento a la rendición de la cuenta en el tiempo establecido</t>
  </si>
  <si>
    <t xml:space="preserve">Número de cuentas rendidas en el plazo establecido(3 primeros días hábiles de cada mes)/3 </t>
  </si>
  <si>
    <t>Cada mes se debe medir</t>
  </si>
  <si>
    <t xml:space="preserve">Verificar el comportamiento  de los proveedores </t>
  </si>
  <si>
    <t>Número de mantenimientos preventivos realizados  *100/ número de mantenimientos preventivos programados.</t>
  </si>
  <si>
    <t xml:space="preserve">Publicación y seguimiento del Plan de Tratamiento de Riesgos de Seguridad y Privacidad de la Información, Plan de Seguridad y Privacidad de la Información y PETIC. </t>
  </si>
  <si>
    <t xml:space="preserve">Verificar el seguimiento y la publicación del Plan de Tratamiento de Riesgos de Seguridad y Privacidad de la Información, Plan de Seguridad y Privacidad de la Información y PETIC. </t>
  </si>
  <si>
    <t>Actualización, publicación y seguimiento al Plan Institucional de Archivos de la Entidad  (PINAR).</t>
  </si>
  <si>
    <t>Realizar seguimiento a las actividades propuestas en el PINAR</t>
  </si>
  <si>
    <t>Número de afiliados beneficiados *100 /
Total de afiliados</t>
  </si>
  <si>
    <t>Medir el  porcentaje de municipios Cundinamarqueses visitados</t>
  </si>
  <si>
    <t xml:space="preserve">Beneficiar a los hijos de nuestros afiliados con incentivo económico que exalta el desempeño académico ICFES SABER 11 y estudiantes  que iniciaron con anterioridad  sus actividades académicas  de nivel superior  y obtuvieron en el último certificado de notas promedio ponderado igual o superior a 3.8 o su equivalente y que cumplan los requisitos establecidos por la entidad.  </t>
  </si>
  <si>
    <t>Disminuir el porcentaje de cartera en "estado persuasivo"</t>
  </si>
  <si>
    <t>Gestión y adquisición de proyectos tecnológicos</t>
  </si>
  <si>
    <t xml:space="preserve">Actividades ejecutadas según cronograma de actividades en los planes publicados *100 / total de  actividades programadas en los Planes </t>
  </si>
  <si>
    <t>Subgerencia Administrativa y Financiera
Almacén</t>
  </si>
  <si>
    <t>Seguimiento Plan Anual de mantenimiento de la infraetructura física  de la entidad y realizar el seguimiento de acuerdo al cronograma de actividades</t>
  </si>
  <si>
    <t>Hacer seguimiento a la elaboración y ejecución del Plan Anual de mantenimiento de la infraetructura fisica  de la Entidad. Asi como realizar el seguimiento de acuerdo al cronograma de actividades</t>
  </si>
  <si>
    <t>Informe semestral de seguimiento a la Inspección preoperativa del parque automotor de la Entidad</t>
  </si>
  <si>
    <t>Hacer seguimiento a la inspección del Plan Anual de mantenimiento del parque automotor de la entidad dos veces al año</t>
  </si>
  <si>
    <t>Satisfacer a confomidad las necesidades de elementos de consumo y papelería en los diferentes procesos de la Corporación.</t>
  </si>
  <si>
    <t xml:space="preserve">Subgerencia Administrativa y Financiera
Almacén </t>
  </si>
  <si>
    <t>Actualizar semestralmente los inventarios  individuales de los funcionarios de la Entidad, los cuales deben estar firmados por el funcionario responsable.</t>
  </si>
  <si>
    <t>Hacer seguimiento a la actualización de inventarios  individuales de los funcionarios de la entidad.</t>
  </si>
  <si>
    <t xml:space="preserve">Verificar los elementos de consumo y devolutivos de acuerdo al reporte generado por Novasoft frente al físico. </t>
  </si>
  <si>
    <t>Seguimiento al PIGA</t>
  </si>
  <si>
    <t>Elaborar y/o actualizar el PIGA de la Entidad, así como realizar el respectivo seguimiento de acuerdo al cronograma de actividades.</t>
  </si>
  <si>
    <t xml:space="preserve">Número de actividades realizadas de acuerdo al cronograma *100/ Número de actividades  Programadas de acuerdo al cronograma </t>
  </si>
  <si>
    <t>Subgerente Administrativa y financiera
Profesional Universitario de Gerencia</t>
  </si>
  <si>
    <t xml:space="preserve">*Subgerencia Administrativa y financiera 
*Gerencia
</t>
  </si>
  <si>
    <t>Subgerente Administrativa y Financiera
Almacenista General</t>
  </si>
  <si>
    <t>Subgerente Administrativa y Financiera
Auxiliar Administrativo</t>
  </si>
  <si>
    <t>Subgerente Administrativa y Financiera
Profesional Universitario TH</t>
  </si>
  <si>
    <t>*Subgerencia Administrativo y Financiero. 
Oficina de TH</t>
  </si>
  <si>
    <t xml:space="preserve">*Subgerencia Administrativa y financiera 
</t>
  </si>
  <si>
    <t>*Subgerencia Administrativa y financiera 
*Gerencia</t>
  </si>
  <si>
    <t>Ejecutar el Plan Institucional de Capacitación.</t>
  </si>
  <si>
    <t xml:space="preserve">Contando con colaboradores y proveedores idóneos 
y
Articular los requisitos del
Sistema de Seguridad y Salud </t>
  </si>
  <si>
    <t>Subgerente Administrativa y Financiera
Profesional Universitario SGSST</t>
  </si>
  <si>
    <t>*Subgerencia Administrativa y Financiera. 
Oficina de TH</t>
  </si>
  <si>
    <t>Ejecutar del Programa de Seguridad y Salud en el Trabajo en CSC de conformidad con las disposiciones normativas vigentes.</t>
  </si>
  <si>
    <t>Subgerente Administrativa y Financiera
Técnico operativo TH</t>
  </si>
  <si>
    <t>Seguimiento al cumplimiento del cronograma de liquidación de nómina de funcionarios</t>
  </si>
  <si>
    <t>Subgerente Administrativa y Financiera
Tecnico operativo TH</t>
  </si>
  <si>
    <t>Subgerente Administrativa y Financiera
Profesional Especializado</t>
  </si>
  <si>
    <t>Resultado de la calificación final del autodiagnóstico &gt; Resultado de la calificación del autodiagnostico del año anterior (79.5%)</t>
  </si>
  <si>
    <t>*Subgerente Administrativo y Financiero. 
*Director Técnico de Contabilidad y Presupuesto</t>
  </si>
  <si>
    <t>Apoyar a la entidad en la consolidación oportuna de la información Presupuestal y Contable.</t>
  </si>
  <si>
    <t xml:space="preserve">Generar información financiera a la alta gerencia necesaria para la Administración del Presupuesto de manera eficiente. </t>
  </si>
  <si>
    <t>Subgerencia Administrativa y Financiera
Dirección de Presupuesto y Contabilidad</t>
  </si>
  <si>
    <t>Verificar el comportamiento del presupuesto en cuanto al gasto con el fin de determinar  el porcentaje  en cada trimestre</t>
  </si>
  <si>
    <t>Valor Ejecutado gastos Trimestre  / Valor Proyectado gastos en el trimestre * 100</t>
  </si>
  <si>
    <t xml:space="preserve">Generar y reportar la Información financiera y presupuestal a los entes de control y de fiscalización de manera oportuna a través de las plataformas oficiales. </t>
  </si>
  <si>
    <t xml:space="preserve"> Elaboración de Informes Contables y Presupuestales rendidos a los entes de control con periodicidad  - trimestral /Semestral y anual</t>
  </si>
  <si>
    <t>Reportar número de Informes tanto contables como presupuestales trimestralmente</t>
  </si>
  <si>
    <t>Calendario Tributario</t>
  </si>
  <si>
    <t>Subgerencia Administrativa y Financiera
Tesorería</t>
  </si>
  <si>
    <t xml:space="preserve">Registrar en el sistema los recaudos provenientes de las diferentes líneas de crédito con que cuenta la entidad, para garantizar el proceso de desgloce y conciliaciones </t>
  </si>
  <si>
    <t xml:space="preserve">Suministrar información de recaudo para la toma de determinaciones administrativas y financieras. </t>
  </si>
  <si>
    <t>PAC</t>
  </si>
  <si>
    <t xml:space="preserve">Suministrar información de egresos para la toma de determinaciones administrativas y financieras. </t>
  </si>
  <si>
    <t>APOYO
Gestión Jurídica</t>
  </si>
  <si>
    <t>Supervisar  la gestión jurídica  de las obligaciones entregadas a los abogados para el cobro jurídico</t>
  </si>
  <si>
    <t xml:space="preserve">Número de obligaciones  con  mínimo de una actuación procesal y/o administrativa
---------------------------------------*x 100
 Número de obligaciones entregadas a los abogados para el cobro jurídico.
</t>
  </si>
  <si>
    <t>Es el número de  obligaciones con impulso procesal</t>
  </si>
  <si>
    <t>Realizar seguimientos mensuales a la implementación de la Politica del Plan de Prevención del Daño Antijurídico.</t>
  </si>
  <si>
    <t>Supervisión al seguimiento del daño antijurídico en el comité de Conciliación y defensa judicial</t>
  </si>
  <si>
    <t>Evitar el daño antijurídico</t>
  </si>
  <si>
    <t>La Corporación Social de Cundinamarca mejora el Sistema de Gestión de Calidad y asegura su integración con el Modelo Integrado de Planeación y
Gestión</t>
  </si>
  <si>
    <t>Número de avances al plan de mejoramiento realizados dentro del término * 100 / Número de avances al Plan de mejoramiento remitidos dentro del término.</t>
  </si>
  <si>
    <t>Presentar los informes de ley  por parte de la OCI, cumpliendo con la normatividad aplicable Decreto 648  del 19 de abril  de 2017,  en materia de seguimientos  por parte de la OCI</t>
  </si>
  <si>
    <t>Publicación de los informes en la página web</t>
  </si>
  <si>
    <t>No. Seguimiento a los contratos reportados *100/No. De contratos reportados</t>
  </si>
  <si>
    <t xml:space="preserve">Números de contratos elaborados y ejecutados hasta la fecha </t>
  </si>
  <si>
    <t>Verificar el cumplimiento de la publicación y/o la presentación de los informes de ley  por parte de la OCI</t>
  </si>
  <si>
    <t>Seguimiento a los resultados de la Auditoría interna de la CSC</t>
  </si>
  <si>
    <t>Número de seguimientos realizados * 100 / Número de No conformidades y observaciones</t>
  </si>
  <si>
    <t>Resultados de la Auditoría Interna</t>
  </si>
  <si>
    <t>Resultados Auditoria año anterior</t>
  </si>
  <si>
    <t xml:space="preserve">Sensibilizar a la CSC con Campañas de Autocontrol (mínimo 4). </t>
  </si>
  <si>
    <t>Hacer seguimientos a los procesos contractuales subidos en la plataforma SIA OBSERVA</t>
  </si>
  <si>
    <t>Cumplimiento a diciembre del 2024</t>
  </si>
  <si>
    <t>Porcentaje de satifacción de los clientes</t>
  </si>
  <si>
    <t>MISIONAL
Crédito y Cartera</t>
  </si>
  <si>
    <t>Obtener a través del cobro jurídico  recursos económicos por recuperación de cartera en etapa jurídica</t>
  </si>
  <si>
    <t>Número de subsidios educativos entregados*100  /
Número de subsidios educativos activos</t>
  </si>
  <si>
    <t xml:space="preserve">Indicador Nuevo </t>
  </si>
  <si>
    <t xml:space="preserve">Mensual </t>
  </si>
  <si>
    <t xml:space="preserve">Marcación de los casos en estado Jurídico </t>
  </si>
  <si>
    <t>Seguimiento y actualización al Sistema Único de Información de trámites -SUIT</t>
  </si>
  <si>
    <t>(PQRSDF resueltas dentro del término / Total PQRSDF recibidas en el periodo) * 100</t>
  </si>
  <si>
    <t>Estimar la capacidad de la CSC para atender las peticiones, quejas, reclamos, sugerencias, denuncias y felicitaciones dentro de los términos legales.</t>
  </si>
  <si>
    <t xml:space="preserve">(Total de clientes satisfechos / total clientes encuestados )*100
</t>
  </si>
  <si>
    <t>Beneficiar el 20% de los afiliados y beneficiarios con las actividades y servicios de bienestar que presta la Corporación.</t>
  </si>
  <si>
    <t>Beneficiar a los afiliados con actividades   encaminadas a difundir y promocionar el portafolio de servicios de la entidad. Asesorando y tramitando tanto créditos como afiliaciones de manera virtual y presencial  en los diferentes municipios del Departamento.</t>
  </si>
  <si>
    <t>Eficacia en la promoción del portafolio de servicios de la entidad en los municipios del Departamento</t>
  </si>
  <si>
    <t xml:space="preserve">Realizar nuevas vinculaciones durante el cuatrienio </t>
  </si>
  <si>
    <t>Créditos hipotecarios desembolsados  en máximo 30 días hábiles  (tiempos de trámites internos CSC) * 100  /  Total créditos hipotecarios desembolsados.</t>
  </si>
  <si>
    <t>Profesional de Cartera
Jefe Oficina Gestión Jurídica</t>
  </si>
  <si>
    <t>Marcar en Novasoft los casos recibidos por el Proceso de Cartera que superen los 91 días para  créditos de consumo y 151 a los créditos hipotecarios</t>
  </si>
  <si>
    <t>Número de casos marcados y enviados a la firma externa / Número de casos recibidos por el proceso de cartera</t>
  </si>
  <si>
    <t>Marcar y notificar oportunamente a la Firma externa de los casos en estado Jurídico</t>
  </si>
  <si>
    <t>ITEM</t>
  </si>
  <si>
    <t xml:space="preserve">Adquirir los equipos tecnológicos requeridos por la entidad. </t>
  </si>
  <si>
    <t>Gestionar el proceso de  compra y/o alquiler de equipos tecnológicos y/o infraestructura tecnológica.</t>
  </si>
  <si>
    <t>Actividades ejecutadas según cronograma del PINAR  * 100 / Total de Actividades cronograma del PINAR</t>
  </si>
  <si>
    <t xml:space="preserve">No. de seguimientos realizados*100 / número de seguimientos requeridos
</t>
  </si>
  <si>
    <t xml:space="preserve">Elaborar las conciliaciones bancarias  que se ajusten a los procedimientos establecidos  institucionalmente. </t>
  </si>
  <si>
    <t>Conciliaciones Bancarias</t>
  </si>
  <si>
    <t>Reflejar la razonabilidad de los movimientos bancarios en los libros contables.</t>
  </si>
  <si>
    <t>No. de conciliaciones Bancarias /No. de conciliaciones depuradas mensualmente * 100</t>
  </si>
  <si>
    <t>Ejecución del Plan Anual de Auditorías</t>
  </si>
  <si>
    <t xml:space="preserve">Número de Auditorías realizadas *100/ Número de Auditorías programadas </t>
  </si>
  <si>
    <t>Plan de auditoría aprobado 2024</t>
  </si>
  <si>
    <t>Auditorías realizadas en el año 2024</t>
  </si>
  <si>
    <t>Planes de Mejoramiento de la Corporación Social de Cundinamarca</t>
  </si>
  <si>
    <t>Asegurar el cumplimiento de tiempos en los Créditos hipotecarios.</t>
  </si>
  <si>
    <t>Se cumplió con el rendimiento de las cuentas Sia Observa durante el primer trimestre 2024, se adjuntas actas de rendición de cuentas.</t>
  </si>
  <si>
    <t>Realizar mantenimiento correctivo cuando sea necesario  a los equipos de cómputo, impresoras, scanner y equipo de la red de la entidad, asi como soporte al usuario.</t>
  </si>
  <si>
    <t>Gestión de mantenimientos correctivos y soporte a usuarios</t>
  </si>
  <si>
    <t xml:space="preserve">Generar mantenimientos correctivos a los equipos de computo, impresoras, scanner y equipos de Red de la entidad, así como brindar soporte técnico a los usuarios según la necesidad. </t>
  </si>
  <si>
    <t>Subgerente Administrativa y financiera
Auxiliar Administrativo</t>
  </si>
  <si>
    <t>Articular acciones con la ARL y COPASS de la Entidad para garantizar la ejecución del programa SGSST al interior de la entidad.</t>
  </si>
  <si>
    <t>Talento humano e integridad y gestión del conocimiento y la innovación</t>
  </si>
  <si>
    <t>*Subgerencia Administrativa y Financiera. 
Oficina de TH
Gerencia
Planeación</t>
  </si>
  <si>
    <t>Subgerente Administrativa y Financiera
Profesional Especializado
Asesor de Gerencia
(Grupo de Planeación)</t>
  </si>
  <si>
    <t>Durante este periodo se  ha estado en el proceso de empalme de entrega y recibo de las demandas que cursan en los diferentes juzgados,  como quiera que  el dia 20 de diciembre del 2023 se terminó  el contrato de prestacion de servicios profesionales No.22-068 de representación judicial suscrito entre la Corporación Social de Cundinamarca y la empresa Scola Abogados S.A.S, ante lo cual en el mes de enero del 2024 se inició el proceso de entrega y recibo de 2.300 obligaciones en diferentes estados procesales , ante lo cual se procedió a  cotejar y revisar uno a uno con la plataforma Novasoft para determinar si las obligaciones estan canceladas o nó  y se estaban cumpliendo o nó con  los acuerdos de pago que pudieron haber suscrito los demandados.
Es de precisar que al terminar el contrato No.22-068,  el dia 29 de diciembre  del 2023 se contrató  la representación judicial de dichos procesos con la persona natural LIZA LORETHY  LOZANO TORRES, quien suscribió el contrato No.23-105. 
Durante  el periodo comprendido entre el 1 de enero al 14 de enero del 2024  no hubo representación judicial, tan solo la dra Sandra Hoyos Acosta fue  nombrada mediante resolución No.000042 del 10 de enero del 2024, y posesionada mediante acta No.000049 del 15 de enero del 2024, quien  una vez posesionada, procedió a efectuar  un plan de contingencia  en aras  de verificar  el estado de  los diferentes procesos ante lo cual se  contrató la prestacion de servicios de apoyo a la supervisión,justamente para efectuar el seguimiento, control y vigilancia.También  durante esta gestión fueron escaneados las carpetas fisicas de los diferentes procesos con el ánimo de  entregar a la nueva empresa dicha información y que los originales  queden en custodia de  la entidad. 
El 21 de  marzo del 2024,fueron entregadas 622 poderes a  la profesional  LIZA LORETHY  LOZANO TORRES para efectuar  la representacion judicial, cuyo anexo No. 1 se allega. 
 Este contrato fue cedido el dia  16 de abril del 2024 a la empresa  MYM  ABOGADOS  S.A.S. El  dia  21 de mayo del 2024,la Oficina Asesora Juridica efectuó entrega de 1318 poderes para la representación judicial a dicha empresa.
La profesional Gloria  Cecilia Rodriguez Valencia allega informe de  gestión y 28  requerimientos, con el anexo No.2.</t>
  </si>
  <si>
    <t>El 11 de julio del 2024 se entregará el primer informe de la gestión realizada por el Comité de Conciliación y Defensa Judicial correspondiente 
al primer semestre del 2024 
El 16 de enero del 2025 se entregará el segundo informe de la gestión realizada por el Comité de Conciliación y Defensa Judicial correspondiente 
al segundo semestre del 2024</t>
  </si>
  <si>
    <t>Este indicador fue creado el dia 29 de abril del 2024 en el El Comité Institucional de Gestión y Desempeño, motivo por el cual no se puede reportar la información solicitada, como quiera que  el indicador corresponde al primer trimestre  de la vigencia del 2024 es decir de enero a  marzo de la vigencia del 2024.
Sinembargo  el 21 de marzo del  2024,fueron entregados 622 poderes para continuar el tramite procesal  a la contratista, los cuales estan registrados en  la Plataforma Novasoft con la marcación  en juridica</t>
  </si>
  <si>
    <t>Novedades presentadas dentro de los tiempos del cronograma / Total de novedades atendidas en el periodo</t>
  </si>
  <si>
    <t xml:space="preserve">El seguimento a la nómina de acuerdo con el cronograma establecido mediante memorando  No. 002 de  fecha  25 de enero 2024 se fijaron las siguientes fechas de ejecución: Enero 31, febrero 26 y marzo 26 de 2024, lo cual se cumplió mensualmente durante el primer trimestre 2024. Para el primer trimestre 2024 fueron entregadas 10 incapacidades en total, de las cuales 3 fueron allegadas después de haberse liquidado la nómina, razón por la cual no fueron ingresadas dentro de los términos establecidos generando así un cumplimiento del 17,5% de la meta establecida. </t>
  </si>
  <si>
    <t xml:space="preserve"> -</t>
  </si>
  <si>
    <t xml:space="preserve"> - </t>
  </si>
  <si>
    <t>Esta actividad se realiza de manera semestral por tal motivo se verá reflejeda en el segundo cuatrimestre del 2024</t>
  </si>
  <si>
    <t>Se realizó revisión a la plataforma SIA observa de lo cual se deja pantallazo con las respectivas de recomendación a la oficina de contratación. Se adjunta pantallazo.</t>
  </si>
  <si>
    <t>Bimestral</t>
  </si>
  <si>
    <t>Número de actividades del cronograma</t>
  </si>
  <si>
    <t xml:space="preserve">Semestral </t>
  </si>
  <si>
    <t>%CUMPLIMIENTO (1)</t>
  </si>
  <si>
    <t>%CUMPLIMIENTO (2)</t>
  </si>
  <si>
    <t>%CUMPLIMIENTO (3)</t>
  </si>
  <si>
    <t>%CUMPLIMIENTO (4)</t>
  </si>
  <si>
    <t>OBSERVACIONES 1ER. TRIMESTRE (Cada Proceso)</t>
  </si>
  <si>
    <t>OBSERVACIONES 1ER. TRIMESTRE (Planeación)</t>
  </si>
  <si>
    <t>La verificación realizada confirma que los procedimientos para la entrega de obsequios a los afiliados se están ejecutando correctamente, lo que asegura el cumplimiento del indicador. Se recomienda continuar con el registro detallado para garantizar la consistencia y la transparencia en el proceso.</t>
  </si>
  <si>
    <t>En el primer trimestre del 2024 se entregaron 817 anchetas y 50 kits en conmemoración del día del hombre y la mujer y mantener la fidelización de los afiliados.  Cumpliendo un 95,70 % de la meta esperada.</t>
  </si>
  <si>
    <t>Se evidencia la falta de contratación de asesores comerciales en la entidad, lo cual impide el inicio de las visitas a los municipios e impacta negativamente el cumplimiento del indicador. Se recomienda ajustar el cronograma de visitas para compensar el tiempo perdido,  asegurando que las visitas a los municipios del departamento puedan ser realizadas de manera eficiente una vez el personal esté contratado.</t>
  </si>
  <si>
    <t>En el primer trimestre del 2024 no se han iniciado las visitas a los municipios, debido a que no se ha realizado contratacion de asesores comerciales.</t>
  </si>
  <si>
    <t>La ejecución de 10 subsidios educativos en el primer trimestre muestra que se ha ejecutado el 33% (10 de 30) de los subsidios activos durante el primer Semestre. Este avance representa un tercio del total, lo cual indica un progreso moderado hacia la meta. Se recomienda fortalecer la comunicación con los beneficiarios para asegurar que estén al tanto de los requisitos y plazos para recibir los subsidios, facilitando así su acceso a los mismos.</t>
  </si>
  <si>
    <t>En el primer trimestre del 2024 se giraron 10 subsidios educativos, de 30 subsidios activos. De igual forma se mediran semestralmente.</t>
  </si>
  <si>
    <t>Se logró el 55% (82 de 150) de la meta trimestral en cuanto a la colocación de créditos. Este avance representa el 4% de la meta anual, por lo tanto, se recomienda mejorar el proceso de comunicación y seguimiento con los afiliados para asegurar que se entreguen y legalicen todos los documentos necesarios de manera oportuna. Asi como proporcionar una asistencia adicional a los afiliados durante el proceso de documentación para reducir el número de solicitudes incompletas. Desarrollar un plan de recuperación para los próximos trimestres que permita alcanzar la meta anual de desembolsos a pesar del retraso inicial.</t>
  </si>
  <si>
    <t>Durante el Primer  Trimestre de 2024 se desembolsaron 82 créditos de 122 que fueron radicados durante el mismo periodo, en razón de que algunos afiliados no legalizaron documentos para lograr el respectivo desembolso. La meta de 150 créditos para el primer  trimestre de 2024 no  fue cumplida.</t>
  </si>
  <si>
    <t>De los 82 créditos desembolsados, 1 corresponde a vivienda hipotecaria y se desembolsó en menos de 45 días,  reflejando una ejecución eficiente y efectiva, cumpliendo con la meta específica para este tipo de crédito.  Se recomienda continuar con el monitoreo continuo de los procesos internos para asegurar que se mantenga la eficiencia en el desembolso de créditos hipotecarios así como identificar posibles mejoras adicionales en el proceso interno que podrían reducir aún más los tiempos de desembolso, incluso considerando los trámites externos.</t>
  </si>
  <si>
    <t>De los 82 créditos desembolsados durante el primer trimestre de 2024, 1 corresponde a crédito de vivienda hipotecarios del cual  1 fué desembolsado en un periodo menor a 45 dias, dando cumplimiento a la meta programada  (No se tiene en cuenta el tiempo de trámites externos como notariado, registro, firma de libranzas y pagarés).</t>
  </si>
  <si>
    <t>De los 82 créditos desembolsados en el primer trimestre 2024, 81  corresponden a créditos de consumo, de los cuales 75 fueron desembolsados en un término inferior a 15 días,  mientras que 6 créditos se llevó a cabo en un periodo superior a los 15 días, en razón del incumplimiento por parte de los afiliados para allegar a la Entidad los documentos (libranza y pagaré) debidamente legalizados para dar continuidad con el trámite de las solicitudes oportunamente y la demora en las respuestas en las verificaciones. (La medición se hace teniendo en cuenta los trámites internos en la Entidad).</t>
  </si>
  <si>
    <t>El 92% (75 de 81) de los créditos de consumo fueron desembolsados dentro del tiempo objetivo de 15 días, demostrando una eficiencia en el proceso interno. Los retrasos en 6 créditos resaltan la necesidad de mejorar la gestión de documentos por parte de los afiliados y la velocidad de las verificaciones. Se recomienda implementar acciones que permitan asegurar que los afiliados entreguen la documentación completa y debidamente legalizada de manera oportuna y evitar retrasos en el desembolso de los créditos.</t>
  </si>
  <si>
    <t>Este indicador de cartera juridica va en aumento y se debe poner plan de contingencia para la celebración de acuerdos de pago para normalizar las obligaciones.</t>
  </si>
  <si>
    <t>Se ha cumplido satisfactoriamente el desglose de los recaudos recibidos.</t>
  </si>
  <si>
    <t>El cumplimiento satisfactorio del desglose de los recaudos recibidos en el primer trimestre de 2024 refleja una gestión eficiente y control de los ingresos.</t>
  </si>
  <si>
    <t>El indicador tuvo un aumento debido al cambio de administracion y gobierno, sin embargo, se contrato un equipo de personas para realizar las llamadas de cobro y poder bajar el mismo.</t>
  </si>
  <si>
    <t>El incumplimiento de la meta de mantener la cartera en estado persuasivo por debajo del 2% y el aumento al 3% refleja una deficiencia en la gestión de la cartera durante el primer trimestre. Se recomienda asegurarse de que el nuevo equipo de personas para realizar este cobro esté bien capacitado y cuente con los recursos necesarios para realizar su trabajo de manera efectiva, así como mejorar la comunicación y las estrategias de seguimiento con los deudores para facilitar la recuperación de pago.</t>
  </si>
  <si>
    <t>El indicador tuvo un aumento debido al cambio de administración y gobierno, sin embargo, se contrato un equipo de personas para realizar las llamadas de cobro y poder bajar el mismo.</t>
  </si>
  <si>
    <t>Se creó el estudio previo para realizar “PRESTACIÓN DE SERVICIOS PROFESIONALES PARA APOYAR, RECOMENDAR Y ORIENTAR AL ÁREA DE SISTEMAS DE LA CSC, EN EL LEVANTAMIENTO DE LA INFORMACIÓN TECNOLÓGICA DE LA CORPORACIÓN SOCIAL DE CUNDINAMARCA.”  Con el informe de tecnologia se tomará la decisión de realizar mantenimiento, compra, alquiler o repotencialización de los equipos de cómputo.</t>
  </si>
  <si>
    <t>Se realizó soporte de mantenimiento correctivo a los equipos de la red y soporte a los usuarios. Se encuentran documentados 28 requerimientos.</t>
  </si>
  <si>
    <t>Se realizó el proceso de contratación para adquirir en alquiler las impresoras y escaneres requeridos para el funcionamiento operativo de la CSC.</t>
  </si>
  <si>
    <t xml:space="preserve">Se realizó la publicación de los planes correspondientes en https://csc.gov.co/planes-gestion-de-la-informacion/ Se realizó seguimiento de los planes y sus actividades, de las 5 actividades se culminaron 4 a satisfacción. </t>
  </si>
  <si>
    <t xml:space="preserve">Se llevó a cabo en el primer trimestre 2024 la actualización del Plan Institucional del PINAR para la vigencia 2024, https://csc.gov.co/wp-content/uploads/2024/01/1.-PLAN-INSTITUCIONAL-DE-ARCHIVOS-PINAR.pdf,  el cual se encuentra en la página www.csc.gov.co. para el respectivo seguimiento. También se realizó tres actividades programadas correspondiente  al escaneo de 60 cajas de órdenes de pago  y 188 garantías del año 2024. Se realizó el traslado de libros de nómina de años anteriores al archivo central, liberando estanterias para capacidad aproximadamente de 6 mts2; Se está trabajando con el proceso de sistemas para la adquicisión de 300 GIGAS en el servidor aproximadamente que garanticen el respaldo de la informacion del archivo, sin embargo se tiene un back up en una tera. Se esta proyectando realizar cambios en el cronograma del PINAR </t>
  </si>
  <si>
    <t>Para el primer trimestre del año 2024, Se socializa y se ajusta el nuevo plan de mantenimiento con su cronograma de actividades, para la presente vigencia, siguiendo los lineamientos de la nueva administración.</t>
  </si>
  <si>
    <t>Se realizó estudio previo  del parque  automotor. Se solicitaron cotizaciones  del 08 de marzo de 2024. Debido al cambio de Subgerente Administrativo y Financiero se  detuvo la contratación dándose inicio de la misma  a partir del  19 de abril de 2024 convalidando el diagnóstico real del parque  automotor por parte de la Gerente y Subgerente Administrativa y Financiera de la Entidad. No se llevó a cabo ningún mantenimiento a los vehículos de la Entidad por las razones expuestas.</t>
  </si>
  <si>
    <t>Para el primer trimestre de 2024, no había actividades programadas relacionadas con el mantenimiento del parque automotor. Por lo tanto, la interrupción y reanudación del proceso no afectaron el indicador de este trimestre. Se recomienda retomar el proceso para el siguiente trimestre.</t>
  </si>
  <si>
    <t>Se comienza con la recopilación de la información de los inventarios devolutivos  funcionario por funcionario, para actualizarlos al 30 de junio 2024.</t>
  </si>
  <si>
    <t>Se actualizo el “plan Institucional de gestión ambiental"  PIGA de la entidad en su normograma y su cronograma de actividades para la presente vigencia.</t>
  </si>
  <si>
    <t>Para el primer trimestre de 2024 se elaboró el Plan de Capacitación y el 31 de enero de 2024 fue publicado en la página Web de la CSC. No se realizaron capacitaciones ya que por cambio de gobierno departamental y armonización presupuestal se ajustó el cronograma, el cual fue aprobado el 29 de abril de 2024.</t>
  </si>
  <si>
    <t>Se evidencia la actualización y publicación del Plan de Capacitación para la vigencia 2024, en la web de la entidad. Sin embargo, no se realizó una capacitación prevista en el primer trimestre de 2024 debido a los cambios administrativos y ajustes presupuestales. Se espera que en la actualización tano del plan como del cronograma aprobado el 29 de abril de 2024 en el comitè Institucional de Gestión y Desempeño permita reprogramar las actividades de capacitación pendientes.</t>
  </si>
  <si>
    <t xml:space="preserve">Para el primer trimestre de 2024 se ejecutaron cuatro actividades: Compensatorio Semana Santa, Celebracion cumpleaños y dia compensatorio para los funcionarios por dicho evento; y  desayuno del dia de la mujer y del dia del hombre. </t>
  </si>
  <si>
    <t>El primer trimestre de 2024 evidenció un cumplimiento satisfactorio en la ejecución de las actividades del Plan de Bienestar, con 4 de las 5 actividades programadas las cuales se realizaron exitosamente. Esto demuestra el compromiso de la entidad con el bienestar de sus funcionarios, a pesar de que una actividad relacionada con la medición del clima laboral quedó pendiente. Se recomienda priorizar la ejecución de dicha actividad para asegurar la ejecución completa y a tiempo del Plan de Bienestar.</t>
  </si>
  <si>
    <t>Durante el primer trimestre se realizaron las siguientes actividades programadas en el plan de Seguridad y Salud en el Trabajo:  aplicación de encuesta de perfil sociodemográfico, taller de desórdenenes musculo-esqueléticos (pausas activas), capacitación COPASST detección de peligros,  capacitación funcionarios y contratistas CUIDEMOS NUESTRA COLUMNA VERTEBRAL,  HABITOS Y ESTILOS DE VIDA SALUDABLE,  cumpliendo con lo ejecutado.</t>
  </si>
  <si>
    <t>La gestión de las incapacidades médicas para recobro durante el primer trimestre de 2024 ha sido efectiva, con todas las incapacidades recibidas debidamente radicadas ante las entidades correspondientes. Sin embargo, es esencial realizar un seguimiento continuo para verificar cuáles han sido pagadas y cuáles están pendientes de pago por parte de las EPS y ARL.</t>
  </si>
  <si>
    <t xml:space="preserve">Se  realizó el acompañamiento a cada Jefe para la calificación definitiva y la concertación de los objetivos correspondientes a los funcionarios de cada área y se solicitó mediante correo a los funcionarios  de carrera subir a la plataforma de la CNSC (EDL)  las respectivas evidencias.  La evaluación a los funcionarios se lleva a cabo en el mes de enero y en el mes de julio de cada año. </t>
  </si>
  <si>
    <t>Se realizó seguimiento a los acuerdos de gestión al  segundo semestre de 2023, la evidencia está en  la página de la entidad. En cuanto al año  2024 dichos acuerdos están en proceso de elaboración y  el seguimiento se realiza semestralmente.</t>
  </si>
  <si>
    <t>El seguimiento a los acuerdos de gestión al segundo semestre de 2023 se ha realizado con éxito y la documentación está disponible públicamente, lo que demuestra transparencia y responsabilidad. Pueden ser consultados en el siguiente link: https://csc.gov.co/acuerdos-de-gestion/ 
Se recomienda asegurar la concertación de los acuerdos de gestión para 2024 en un plazo adecuado para permitir un seguimiento efectivo.</t>
  </si>
  <si>
    <t>De acuerdo al PAC del año 2024 se tenía programado  recaudar ingresos por valor de $ 11.655.688.070.00 y solo se recaudò presupuestalmente la suma de $ 8.802.079.275, lo que significa que no se cumplió el tope de recaudo durante el primer trimestre 2024.</t>
  </si>
  <si>
    <t>De acuerdo con el PAC del 2024 se tenía programado ejecutar gastos por valor de $ 11.655.688.070.00 y solo se ejecutó durante el primer trimestre  la suma de $ 4.293.116.387,83 lo que significa que hubo austeridad en la ejecución del gasto durante el primer trimestre 2024.</t>
  </si>
  <si>
    <t>La ejecución de gastos durante el primer trimestre de 2024 fue significativamente menor que lo programado en el PAC, alcanzando solo el 36.8% de la meta establecida. Se recomienda evaluar aquellos factores tanto internos y externos que puedan haber influido en esta situación, incluyendo retrasos en la contratación, ajustes presupuestarios, políticas de austeridad, entre otros con el fin alcanzar las metas propuestas en cuanto a la ejecución de gastos.</t>
  </si>
  <si>
    <t>Se remitieron informes a los entes de control tales como el Chip/Cuipo/CGN/Contraloría Departamental /Secretaría de Hacienda/Planeación Departamental; correspondiente al primer trimestre del  2024.</t>
  </si>
  <si>
    <t>La remisión de informes a los entes de control durante el primer trimestre de 2024 se ha realizado de manera adecuada y oportuna, cumpliendo con los requisitos establecidos y asegurando la transparencia y responsabilidad en la gestión de la entidad.</t>
  </si>
  <si>
    <t>Las conciliaciones bancarias se realizan mensualmente con fecha de corte al mes inmediatamente anterior en sinergia con el área de tesorería de la Entidad.</t>
  </si>
  <si>
    <t>El cumplimiento del 71% del primer trimestre 2024 obedece a la diferencia entre el PAC y el Recaudo Tesoral correspondiente a la afectación que tanto los créditos rotativos como unificados representa para el presupuesto pero NO para los bancos.</t>
  </si>
  <si>
    <t>Se evidencia el registro de los ingresos reportados durante el primer trimestre,alcanzar el 17,76% de la meta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t>
  </si>
  <si>
    <t>El resultado del 28% del primer trimestre 2024 obedece a que  en esta vigencia únicamente se han dado trámite a créditos desde mediados de marzo hasta mediados de abril en razón de la armonización presupuestal del departamento haciendose necesaria de manera urgente la reactivación de los mismos.</t>
  </si>
  <si>
    <t>Lograr el 6.69% de la meta, evidencia la necesidad de generar acciones correctivas para asegurar la reactivación y continuidad en el otorgamiento de los créditos con el fin de implementar la ejecución del presupuesto.</t>
  </si>
  <si>
    <t>El Plan Anual de Auditoría para la viegencia 2024 al 2023 fue aprobado mediante Comité Institucional de Coordinación de Control Interno el 24 de Abril del 2024. el cual se encuentra publicado en la página web de la entidad. https://csc.gov.co/wp-content/uploads/2024/05/Acta-No-1-Aprobacion-del-Plan-Anual-de-Auditoria-2024-al-2023.pdf</t>
  </si>
  <si>
    <t>La elaboración y aprobación del Plan Anual de Auditoría para la vigencia 2024, pese a no estar programada para el primer trimestre, indican una acción proactiva del proceso de auditoría. Esta actividad será considerada para el segundo trimestre, destacando el compromiso con la planificación y el control institucional.</t>
  </si>
  <si>
    <t>La Oficina de Control Interno presentó  los siguientes informes de ley en el primer trimestre: Derechos de Autor, Austeridad en el gasto, Elvaluación por Dependencias 2023, Seguimiento a la matriz de riesgos, aprobación del Plan y Programa de Auditorias 2024 al 2023. Las evidencias se encuentran el página web de la entidad.</t>
  </si>
  <si>
    <t>Se envió la primera campaña de auto control a los correos de todos los correos de la entidad el día 23 de febrero del 2024. Se adjunta pantallazo.</t>
  </si>
  <si>
    <t>Se da cumplimiento adecuado a las acciones programadas en el indicador evidenciando la campaña de auto control enviada a los correos institucionales de los funcionarios, enfocada en las tres líneas de defensa para el manejo de riesgos. Se recomienda utilizar diferentes medios de comunicación  para complementar los correos electrónicos y llegar a todos los funcionarios y contratistas de manera efectiva.</t>
  </si>
  <si>
    <t>OBSERVACIONES 2DO. TRIMESTRE (Planeación)</t>
  </si>
  <si>
    <t>OBSERVACIONES 2DO. TRIMESTRE (Cada Proceso)</t>
  </si>
  <si>
    <t>OBSERVACIONES 3ER. TRIMESTRE (Cada Proceso)</t>
  </si>
  <si>
    <t>OBSERVACIONES 4TO.  TRIMESTRE (Cada Proceso)</t>
  </si>
  <si>
    <t>OBSERVACIONES 3ER. TRIMESTRE (Planeación)</t>
  </si>
  <si>
    <t>OBSERVACIONES 4TO.  TRIMESTRE (Planeación)</t>
  </si>
  <si>
    <t>Seguimiento 1er trimestre</t>
  </si>
  <si>
    <t>Seguimiento 2do trimestre</t>
  </si>
  <si>
    <t>Seguimiento 3er trimestre</t>
  </si>
  <si>
    <t>Seguimiento 4to trimestre</t>
  </si>
  <si>
    <t>PLANEACIÓN</t>
  </si>
  <si>
    <t>(Número de vinculaciones efectivas en el Periodo /Total de vinculaciones prograadas) * 100</t>
  </si>
  <si>
    <t>Se envio mediante correo electrónico, memorando solicitando a las dependencias el cumplimiento del cronograma del Plan Anual de Adquisiciones.</t>
  </si>
  <si>
    <t>El indicador de rendición de cuentas SIA Observa muestra un cumplimiento del 100% para el primer trimestre de 2024. Se rindió cuenta de 20 contratos en las fechas estipuladas para cada mes asegurando que se rindan de manera oportuna y eficiente. Sin embargo, se recomienda  que en las actas de rendición de cuentas se adjunten las certificaciones correspondientes. Asi como generar una base de datos que incluya todas las modalidades de contratación, esta información facilitará el seguimiento y la gestión.</t>
  </si>
  <si>
    <t xml:space="preserve">Se reevaluaron tres contratos que se terminaron en el primer trimestre, cumpliendo a satisfacción con la reevaluación del proveedor, el cual se encuentra en las actas de terminación de los contratos. </t>
  </si>
  <si>
    <t>El indicador de reevaluación de contratos muestra un cumplimiento del 100% para el primer trimestre de 2024. Las reevaluaciones se llevaron a cabo de manera oportuna y con buenos resultados. Sin embargo, se recomienda al proceso asegurarse de que todas las reevaluaciones estén debidamente documentadas y archivadas para futuras referencias y/o auditorías.</t>
  </si>
  <si>
    <t xml:space="preserve">
El primer trimestre de 2024 muestra una iniciativa importante en la creación del estudio previo, pero no se evidencia avance en el indicador correspondiente al mantenimiento preventivo de los equipos de cómputo. Es importante definir el cronograma de mantenimiento para proceder con las acciones necesarias y cumplir con el indicador.</t>
  </si>
  <si>
    <t xml:space="preserve">El soporte de mantenimiento correctivo y a usuarios durante el primer trimestre de 2024 ha logrado un cumplimiento satisfactorio del indicador, con 28 requerimientos documentados y en su mayoría atendidos adecuadamente. Este cumplimiento refleja una gestión efectiva en el proceso. Sin embargo, se sugiere asegurarse de que cada acción de solución esté documentada para proporcionar evidencia de que los problemas fueron resueltos eficazmente. </t>
  </si>
  <si>
    <t xml:space="preserve">
El indicador relacionado con la adquisición de impresoras y escáneres ha sido cumplido satisfactoriamente en el primer trimestre de 2024, según lo evidenciado por las órdenes de compra 125905 y 125186. Se sugiere al proceso estar atento a la renovación de la prestación del servicio, ya que los contratos actuales tienen fecha de vencimiento en septiembre. Esto es importante para evitar inconvenientes y retrasos en el proceso de contratación asi como interrupciones en la prestación del servicio de la Corproación.</t>
  </si>
  <si>
    <t>Durante el primer trimestre de 2024, se realizó un seguimiento detallado de los planes institucionales y sus respectivas actividades del área de sistemas. De las 5 actividades programadas, se culminaron 4 a satisfacción. Estas actividades incluían el alquiler de impresoras, la identificación de activos de información, el seguimiento al control del plan de riesgos y la realización del diagnóstico MSPI. La actividad que no se concluyó fue la actualización del contrato de licencia de Gmail, pero aún se cuenta con tiempo suficiente para llevar a cabo este proceso. Se recomienda iniciar el proceso de actualización del contrato de licencia de Gmail, así como designar el responsable específico para liderar y monitorear el progreso de la actividad.</t>
  </si>
  <si>
    <t>El primer trimestre de 2024 muestra un avance significativo del indicador en cuanto a la actualización y ejecución del Plan Institucional del PINAR. Las actividades realizadas contribuyen a una mejor gestión documental y optimización de recursos. La adquisición adicional de espacio de almacenamiento en el servidor refuerza la seguridad y disponibilidad de la información. Se recomienda fomentar la concientización sobre la importancia de una gestión documental eficiente y segura entre todos los funcionarios</t>
  </si>
  <si>
    <t>Se proyecta  el estudio de necesidad de útiles de oficina, papelería y tóner requeridos para el buen funcionamiento de la parte administrativa de la entidad, con los formatos consolidados de solicitudes de elementos de almacén entregados  por las diferentes áreas de la entidad en el mes de octubre 2023.</t>
  </si>
  <si>
    <t xml:space="preserve">
El indicador de suministro de papeleria y elementos, cumple satisfactoriamente el objetivo ya que se evidencia la recepción de 3 solicitudes. Sin embargo, no es suficiente la información para proyectar el estudio de necesidad. Se recomienda fomentar activamente la presentación de solicitudes por parte de todas las áreas de la entidad para obtener una visión completa de las necesidades de suministros. Así como mejorar su recepción y que estas sean firmadas por cada lider de proceso.</t>
  </si>
  <si>
    <t xml:space="preserve">
Comenzar a recopilar información para actualizar los inventarios devolutivos es un paso importante para gestionar los recursos de la entidad de manera eficiente y transparente. Este procedimiento asegurará que los inventarios estén actualizados al 30 de junio de 2024, lo que permitirá un control riguroso y preciso de los bienes asignados a los funcionarios.</t>
  </si>
  <si>
    <t>Se realiza mes a mes (enero-febrero y marzo 2024) la respectiva interface de almacén general y se envía al área de contabilidad para su trámite pertinente.</t>
  </si>
  <si>
    <t>El seguimiento realizado demuestra que el indicador de verificación de elementos devolutivos y de consumo se cumplió satisfactoriamente durante el primer trimestre de 2024. Todas las entradas y salidas fueron registradas correctamente, incluyendo detalles como descripción del elemento, cantidad y valor. Se recomienda al proceso verificar si existe un reporte con información de fecha de ingreso y salida de cada elemento..</t>
  </si>
  <si>
    <t xml:space="preserve">
El cumplimiento total de las actividades programadas en el Plan de Seguridad y Salud en el Trabajo durante el primer trimestre de 2024 refleja un alto nivel de compromiso y eficacia en la gestión de la seguridad y salud laboral. Todas las actividades programadas se ejecutaron satisfactoriamente, proporcionando a los funcionarios y contratistas las herramientas y conocimientos necesarios para mantener un ambiente de trabajo seguro y saludable. </t>
  </si>
  <si>
    <t>El seguimiento a la nómina durante el primer trimestre de 2024 se realizó según lo planificado, cumpliendo con las fechas establecidas. No se presentaron solicitudes que afentaran el pago de acuerdo a lo programado.</t>
  </si>
  <si>
    <t>Se recibieron dos (02) incapacidades médicas para recobro en el mes de enero, dos (02) en febrero  y tres (03) en marzo de 2024;  las cuales se radicaron debidamente ante las EPS y ARL correspondientes.</t>
  </si>
  <si>
    <t>El acompañamiento y la evaluación del desempeño de los funcionarios han sido llevados a cabo de manera satisfactoria durante el primer trimestre de 2024. Se evidencia la evaluación de 24 funcionarios del año 2023, y seguimiento de concertación para una nueva vigencia. Se recomienda fomentar una cultura de retroalimentación constructiva donde los jefes de área proporcionen comentarios claros y útiles a los funcionarios sobre su desempeño y cómo pueden mejorar.</t>
  </si>
  <si>
    <t>Se realizó la medición de autodiagnóstico en el  último trimestre de 2023 para tener en cuenta la medición  para el FURAG del 2024.</t>
  </si>
  <si>
    <t>Para este trimestre el indicador no tenía nada programado, sin embargo, se evidencia que los puntajes obtenidos en la Ruta del Servicio y la Ruta de la Felicidad indican que hay oportunidades significativas para mejorar en estas áreas.</t>
  </si>
  <si>
    <t xml:space="preserve">
El recaudo de ingresos durante el primer trimestre de 2024 no cumplió con el tope programado en el PAC, logrando solo el 75.5%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t>
  </si>
  <si>
    <t>El indicador de las conciliaciones bancarias ha demostrado un cumplimiento satisfactorio, ejecutándose de manera precisa. La colaboración con el área de tesorería permite una verificación más completa sobre los saldos bancarios, garantizando la integridad y exactitud de los registros contables de la Entidad.</t>
  </si>
  <si>
    <t xml:space="preserve">El indicador de publicación de informes de control interno muestra un cumplimiento del 85% para el primer trimestre, faltando el informe del segundo semestre del 2023 de PQRS. Se recomienda al proceso revisar la información y cargar los informes adecuadamente en a web de la Entidad.. </t>
  </si>
  <si>
    <t>De acuerdo con las evidencias aportadas, no son insumos suficientes para realizar un seguimiento al indicador. Se recomienda al proceso verificar la información y aportar eviencias que muestren el estado real del seguimiento de cada una de las acciones tanto correctivas como de mejora de las auditorias internas.</t>
  </si>
  <si>
    <t>Se presentan los resultados de las encuestas realizadas durante los meses de enero, febrero y marzo. Las encuestas se enfocaron en varios aspectos del servicio brindado, incluyendo el tiempo de espera, la claridad de la información proporcionada, la amabilidad del personal y la calidad de las instalaciones.
1. Tiempo de espera para ser atendido:
   - Muy Satisfecho: 45 encuestados (91.84%)
   - Satisfecho: 3 encuestados (6.12%)
   - Aceptable: 0 encuestados (0%)
   - Insatisfecho: 0 encuestados (0%)
   - Muy Insatisfecho: 1 encuestado (2.04%)
2. ¿Tuvo solución su requerimiento?
   - Muy Satisfecho: 45 encuestados (91.84%)
   - Satisfecho: 2 encuestados (4.08%)
   - Aceptable: 0 encuestados (0%)
   - Insatisfecho: 0 encuestados (0%)
   - Muy Insatisfecho: 2 encuestados (4.08%)
3. ¿La información suministrada por el funcionario y/o asesor fue clara y oportuna?
   - Muy Satisfecho: 46 encuestados (93.88%)
   - Satisfecho: 2 encuestados (4.08%)
   - Aceptable: 0 encuestados (0%)
   - Insatisfecho: 0 encuestados (0%)
   - Muy Insatisfecho: 1 encuestado (2.04%)
4. ¿Cómo encontró las instalaciones físicas y herramientas tecnológicas?
   - Muy Satisfecho: 45 encuestados (91.84%)
   - Satisfecho: 2 encuestados (4.08%)
   - Aceptable: 1 encuestado (2.04%)
   - Insatisfecho: 0 encuestados (0%)
   - Muy Insatisfecho: 1 encuestado (2.04%)
5. ¿Cómo califica la amabilidad por parte del funcionario y/o asesor?
   - Muy Satisfecho: 46 encuestados (93.88%)
   - Satisfecho: 2 encuestados (4.08%)
   - Aceptable: 0 encuestados (0%)
   - Insatisfecho: 0 encuestados (0%)
   - Muy Insatisfecho: 1 encuestado (2.04%).</t>
  </si>
  <si>
    <t>El compromiso de incrementar la satisfacción y fidelización de nuestros afiliados se materializa a través del cumplimiento del cronograma de trabajo y actividades. A continuación, se detallan las principales acciones realizadas durante los meses de enero, febrero y marzo:
Estrategia para Opinión Pública:
   - Publicación de comunicados de prensa y publirreportajes.
   - Avisos publicitarios en medios locales y regionales.
   - Gestión de la Oficina de Prensa y Atención al Cliente.
 Estrategia de Contacto Personal:
   - Organización de comités y reuniones de gerencia.
   - Participación activa de la alta gerencia y el equipo de trabajo.
 Capacitación en Gestión Administrativa:
   - Programas de formación y capacitación para el manejo de la gestión administrativa de trámites de la entidad.
 Campañas de Servicio en Municipios:
   - Realización de campañas de servicio en diferentes municipios de Cundinamarca, acercando nuestros servicios a la comunidad.
 Entrega de Bonos e Incentivos:
   - Distribución de bonos e incentivos a los afiliados como reconocimiento a su fidelidad y participación activa.</t>
  </si>
  <si>
    <t>Desde la Oficina de Prensa y Atención al Cliente, teníamos la meta para el primer trimestre de cumplir con 140 afiliaciones, y nos complace anunciar que hemos CUMPLIDO con esa meta.
Las 140 afiliaciones se distribuyen de la siguiente manera:
En enero realizamos 14 afiliaciones.
En febrero realizamos 60 afiliaciones.
En marzo realizamos 66 afiliaciones.
Este esfuerzo conjunto nos permitió alcanzar un total de 140 afiliaciones, logrando así nuestro objetivo para el primer trimestre.</t>
  </si>
  <si>
    <t>OBSERVACIONES Y RECOMENDACIONES</t>
  </si>
  <si>
    <t>El indicador cumple con lo programado.  Este resultado fortalece la base de afiliados y contribuye al crecimiento y sostenibilidad de la entidad.</t>
  </si>
  <si>
    <t>El indicador cumple satisfactoriamnete con lo programado. El seguimiento y cumplimiento de las actividades del primer trimestre de 2024 reflejan un compromiso claro hacia la satisfacción y fidelización los afiliados. Se recomienda actualizar el informe que corresponda al periodo evaluado.</t>
  </si>
  <si>
    <t>Para el periodo que corresponde al primer trimestre de año 2024, a pesar, que el grupo de Planeación no tiene actividades programadas para este indicador, se efectuó seguimiento a la página de la Función Pública para verificar los lineamientos que se llevarían a cabo, con el fin de realizar el reporte de FURAG. Adicionalmente, personal asignado del área, participó en la capacitación que se llevó a cabo el día 13 de marzo, en donde recibieron instrucciones para realizar la inscripción de roles en el SIGEP II. Por otra parte, continúa periódico con el seguimiento en la página para verificar la fecha de apertura del cuestionario.</t>
  </si>
  <si>
    <t>Durante el primer trimestre de 2024, los Planes Institucionales fueron revisados y consolidados con el propósito de garantizar su coherencia y alineación con los objetivos estratégicos. Estos planes fueron presentados ante el Comité Institucional de Gestión de Desempeño para su aprobación y posterior publicación en la pagina web antes del 31 de enero. Posteriormente, el equipo de planeación realizó un acompañamiento constante a los procesos responsables de la implementación de los planes, enfocándose principalmente en la actualización de los cronogramas. Esto aseguró que todas las actividades programadas estuvieran alineadas con los tiempos estipulados. Los planes pueden ser consultados en el siguiente enlace  link: https://csc.gov.co/transparencia/ Se anexan como evidencias en la Ruta de la Calidad, algunas actas de reuniones con los procesos.</t>
  </si>
  <si>
    <t xml:space="preserve">Durante el primer trimestre se llevó a cabo el seguimiento a los indicadores del Plan de acción de los diferentes procesos   </t>
  </si>
  <si>
    <t>Durante el primer trimestre de 2024, se realizó un seguimiento en la plataforma SUIT (Sistema Único de Información de Trámites) evidenciándose que todos los trámites inscritos están completamente actualizados. Además, la estrategia de racionalización correspondiente al año 2023 se encuentra con los respectivos monitoreos y evaluaciones. Se actualizaron los datos de operación para cada trámite inscrito. Por otro lado, se proyecta que para el próximo seguimiento se podrá plantear una nueva estrategia de racionalización con la nueva administración.</t>
  </si>
  <si>
    <t>Se evidencia un total de 49 personas encuestadas , donde los resultados de satisfacción del servicio son positivos, con altos niveles de satisfacción en la mayoría de los aspectos evaluados. No obstante, es importante atender aquellos items donde su calificación es aceptable para incluir acciones de mejora que permitan incrementar los niveles de satisfacción del servicio brindado. Se recomienda fortalecer el informe presentado con análisis en cada gráfica.</t>
  </si>
  <si>
    <t xml:space="preserve">
Planeación: El aumento del indicador de cartera jurídica al 27% refleja un incumplimiento significativo respecto a la meta del 24%. Este incremento sugiere la necesidad de implementar medidas correctivas urgentes para controlar y reducir la cartera jurídica. Se recomienda revisar y mejorar los procedimientos internos de gestión de cartera para aumentar la eficiencia en la recuperación de deudas. Así como fortalecer la comunicación con los deudores actualizando las bases de pados para facilitar y promover la celebración de acuerdos de pago, ofreciendo opciones flexibles y accesibles.</t>
  </si>
  <si>
    <t>El objetivo de mantener la cartera en estado pre-jurídico por debajo del 2% no se alcanzó este trimestre, ya que el indicador subió al 4%. Esto evidencia una deficiencia en la gestión de la cartera durante el primer trimestre. Se recomienda garantizar que el nuevo equipo encargado de realizar los cobros esté bien capacitado y disponga de los recursos necesarios para desempeñar su labor de manera efectiva, efectuando seguimientos permanentesa al equipo. Además, es fundamental mejorar la comunicación y las estrategias de seguimiento con los deudores para facilitar la recuperación de los pagos.</t>
  </si>
  <si>
    <t>Adquisiciones muestra un 50% de ejecución para el primer trimestre. Se recomienda revisar las actividades pendientes y ajustar el cronograma del Plan Anual de Adquisiciones para reflejar de manera realista las capacidades y los tiempos necesarios para su ejecución. Asi como, mejorar la comunicación entre los procesos y la oficina de planeación para identificar y resolver de manera proactiva cualquier obstáculo que pueda retrasar la ejecución en la contratación. .</t>
  </si>
  <si>
    <t>El presnte indicador será evaluado en el segundo trimestre.</t>
  </si>
  <si>
    <t>Si bien los informes son reportados de manera semestral, para el presente trimestre el proceso debe haber presentado avances de seguimiento y planes de mejoramiento de la auditoria del año 2023 y seguimiento a aquellos planes de mejoramiento que se encuentren abiertos. Se recomienda al proceso revisar la información y realizar el respectivo cargue de las evidencias. Asi como también indicar el estado de los diferentes planes de mejoramiento que se encuentren en seguimiento ante la Contraloría Departamental</t>
  </si>
  <si>
    <t>Se solicitó via correo electronico a todas las dependencias el envio de los avances realizados a las acciones correctivas y de mejora suscritas como resultado de las auditorias internas realizadas en la vigencia 2023, asi como tambien se les realizó seguimiento desde el comité Institucional de Coordinacion de Control Interno.</t>
  </si>
  <si>
    <t xml:space="preserve">Se revisó la actualización del Plan Institucional de Gestión Ambiental. Sin embargo, se sugiere que este aprobado y socializado con la subgerente Adminsitrativa y Financiera para asegurar que todas las actividades se lleven a cabo adecuadamente. Esto garantizará la alineación del plan con los objetivos estratégicos de la entidad y permitirá una implementación coordinada de las acciones previstas. </t>
  </si>
  <si>
    <t>Para los meses de enero, febrero y marzo se recibieron 15 PQRSDF, de las cuales 13 se respondieron dentro del termino establecido, las cuales pertenecen a las áreas de cartera, jurídica y talento humano. por otra parte, otras 2 no se respondieron a tiempo debido a cambios de administración.
Correo: atencionalcliente@csc.gov.co
- Cartera y Créditos: Se respondieron 7 PQRSDF en término y ninguna fuera de término.
- Jurídica: Se respondieron 6 PQRSDF en término y 1 fuera de término.
- Talento Humano: No se respondieron PQRSDF en término y se respondió 1 fuera de término.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</si>
</sst>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Red]\-&quot;$&quot;\ #,##0"/>
    <numFmt numFmtId="165" formatCode="&quot;$&quot;\ #,##0.00;[Red]\-&quot;$&quot;\ #,##0.00"/>
    <numFmt numFmtId="166" formatCode="_(* #,##0.00_);_(* \(#,##0.00\);_(* \-??_);_(@_)"/>
    <numFmt numFmtId="167" formatCode="0.0"/>
    <numFmt numFmtId="168" formatCode="0.0%"/>
  </numFmts>
  <fonts count="31" x14ac:knownFonts="1">
    <font>
      <sz val="11"/>
      <color theme="1"/>
      <name val="Calibri"/>
    </font>
    <font>
      <sz val="11"/>
      <color theme="1"/>
      <name val="Calibri"/>
      <family val="2"/>
      <scheme val="minor"/>
    </font>
    <font>
      <sz val="11"/>
      <name val="Calibri"/>
      <family val="2"/>
    </font>
    <font>
      <sz val="11"/>
      <color indexed="8"/>
      <name val="Calibri"/>
      <family val="2"/>
      <charset val="1"/>
    </font>
    <font>
      <sz val="10"/>
      <name val="Arial"/>
      <family val="2"/>
    </font>
    <font>
      <sz val="11"/>
      <color theme="1"/>
      <name val="Calibri"/>
      <family val="2"/>
    </font>
    <font>
      <sz val="11"/>
      <color theme="1"/>
      <name val="Calibri"/>
      <family val="2"/>
    </font>
    <font>
      <sz val="11"/>
      <name val="Arial"/>
      <family val="2"/>
    </font>
    <font>
      <b/>
      <sz val="26"/>
      <name val="Arial"/>
      <family val="2"/>
    </font>
    <font>
      <b/>
      <sz val="10"/>
      <name val="Arial"/>
      <family val="2"/>
    </font>
    <font>
      <b/>
      <sz val="16"/>
      <name val="Arial"/>
      <family val="2"/>
    </font>
    <font>
      <sz val="16"/>
      <name val="Arial"/>
      <family val="2"/>
    </font>
    <font>
      <sz val="12"/>
      <name val="Arial"/>
      <family val="2"/>
    </font>
    <font>
      <b/>
      <sz val="12"/>
      <name val="Arial"/>
      <family val="2"/>
    </font>
    <font>
      <b/>
      <sz val="22"/>
      <name val="Arial"/>
      <family val="2"/>
    </font>
    <font>
      <sz val="10"/>
      <color rgb="FFFF0000"/>
      <name val="Arial"/>
      <family val="2"/>
    </font>
    <font>
      <b/>
      <sz val="11"/>
      <name val="Arial"/>
      <family val="2"/>
    </font>
    <font>
      <b/>
      <sz val="11"/>
      <name val="Calibri"/>
      <family val="2"/>
    </font>
    <font>
      <sz val="11"/>
      <color theme="1"/>
      <name val="Arial"/>
      <family val="2"/>
    </font>
    <font>
      <b/>
      <sz val="11"/>
      <color theme="1"/>
      <name val="Arial"/>
      <family val="2"/>
    </font>
    <font>
      <b/>
      <sz val="16"/>
      <color theme="0"/>
      <name val="Arial"/>
      <family val="2"/>
    </font>
    <font>
      <b/>
      <sz val="20"/>
      <color theme="0"/>
      <name val="Arial"/>
      <family val="2"/>
    </font>
    <font>
      <b/>
      <sz val="11"/>
      <color theme="0"/>
      <name val="Arial"/>
      <family val="2"/>
    </font>
    <font>
      <b/>
      <sz val="12"/>
      <color theme="0"/>
      <name val="Arial"/>
      <family val="2"/>
    </font>
    <font>
      <sz val="10"/>
      <color theme="1"/>
      <name val="Arial"/>
      <family val="2"/>
    </font>
    <font>
      <b/>
      <sz val="10"/>
      <color theme="0"/>
      <name val="Arial"/>
      <family val="2"/>
    </font>
    <font>
      <b/>
      <sz val="18"/>
      <color theme="0"/>
      <name val="Calibri"/>
      <family val="2"/>
      <scheme val="minor"/>
    </font>
    <font>
      <sz val="11"/>
      <name val="Calibri"/>
      <family val="2"/>
      <scheme val="minor"/>
    </font>
    <font>
      <b/>
      <sz val="18"/>
      <color theme="0"/>
      <name val="Arial"/>
      <family val="2"/>
    </font>
    <font>
      <b/>
      <sz val="18"/>
      <name val="Arial"/>
      <family val="2"/>
    </font>
    <font>
      <sz val="8"/>
      <color theme="1"/>
      <name val="Arial"/>
      <family val="2"/>
    </font>
  </fonts>
  <fills count="23">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ECECEC"/>
      </patternFill>
    </fill>
    <fill>
      <patternFill patternType="solid">
        <fgColor theme="0"/>
        <bgColor rgb="FFE2EFD9"/>
      </patternFill>
    </fill>
    <fill>
      <patternFill patternType="solid">
        <fgColor theme="0"/>
        <bgColor rgb="FFD9E2F3"/>
      </patternFill>
    </fill>
    <fill>
      <patternFill patternType="solid">
        <fgColor theme="0"/>
        <bgColor rgb="FFFEF2CB"/>
      </patternFill>
    </fill>
    <fill>
      <patternFill patternType="solid">
        <fgColor theme="0"/>
        <bgColor rgb="FFBFBFBF"/>
      </patternFill>
    </fill>
    <fill>
      <patternFill patternType="solid">
        <fgColor theme="0" tint="-0.14999847407452621"/>
        <bgColor rgb="FFBFBFBF"/>
      </patternFill>
    </fill>
    <fill>
      <patternFill patternType="solid">
        <fgColor theme="0" tint="-0.14999847407452621"/>
        <bgColor indexed="64"/>
      </patternFill>
    </fill>
    <fill>
      <patternFill patternType="solid">
        <fgColor theme="0" tint="-0.14999847407452621"/>
        <bgColor theme="0"/>
      </patternFill>
    </fill>
    <fill>
      <patternFill patternType="solid">
        <fgColor theme="0" tint="-0.14999847407452621"/>
        <bgColor rgb="FFA5A5A5"/>
      </patternFill>
    </fill>
    <fill>
      <patternFill patternType="solid">
        <fgColor theme="0" tint="-0.14999847407452621"/>
        <bgColor rgb="FF3FC71F"/>
      </patternFill>
    </fill>
    <fill>
      <patternFill patternType="solid">
        <fgColor theme="0" tint="-0.14999847407452621"/>
        <bgColor rgb="FF92D050"/>
      </patternFill>
    </fill>
    <fill>
      <patternFill patternType="solid">
        <fgColor theme="0" tint="-0.14999847407452621"/>
        <bgColor rgb="FFD9E2F3"/>
      </patternFill>
    </fill>
    <fill>
      <patternFill patternType="solid">
        <fgColor rgb="FF00206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00"/>
        <bgColor theme="0"/>
      </patternFill>
    </fill>
    <fill>
      <patternFill patternType="solid">
        <fgColor rgb="FFFFFF00"/>
        <bgColor rgb="FFD9E2F3"/>
      </patternFill>
    </fill>
    <fill>
      <patternFill patternType="solid">
        <fgColor theme="9" tint="0.79998168889431442"/>
        <bgColor rgb="FFD9E2F3"/>
      </patternFill>
    </fill>
    <fill>
      <patternFill patternType="solid">
        <fgColor theme="9" tint="0.79998168889431442"/>
        <bgColor indexed="64"/>
      </patternFill>
    </fill>
  </fills>
  <borders count="52">
    <border>
      <left/>
      <right/>
      <top/>
      <bottom/>
      <diagonal/>
    </border>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thin">
        <color rgb="FF000000"/>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medium">
        <color rgb="FF000000"/>
      </left>
      <right style="medium">
        <color rgb="FF000000"/>
      </right>
      <top style="medium">
        <color indexed="64"/>
      </top>
      <bottom style="thin">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medium">
        <color indexed="64"/>
      </top>
      <bottom style="thin">
        <color indexed="64"/>
      </bottom>
      <diagonal/>
    </border>
    <border>
      <left style="medium">
        <color rgb="FF000000"/>
      </left>
      <right style="medium">
        <color rgb="FF000000"/>
      </right>
      <top style="thin">
        <color rgb="FF000000"/>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rgb="FF000000"/>
      </top>
      <bottom style="thin">
        <color rgb="FF000000"/>
      </bottom>
      <diagonal/>
    </border>
    <border>
      <left style="medium">
        <color rgb="FF000000"/>
      </left>
      <right style="medium">
        <color rgb="FF000000"/>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rgb="FF000000"/>
      </right>
      <top/>
      <bottom/>
      <diagonal/>
    </border>
    <border>
      <left/>
      <right style="medium">
        <color indexed="64"/>
      </right>
      <top/>
      <bottom/>
      <diagonal/>
    </border>
    <border>
      <left style="medium">
        <color indexed="64"/>
      </left>
      <right/>
      <top/>
      <bottom/>
      <diagonal/>
    </border>
    <border>
      <left/>
      <right/>
      <top style="medium">
        <color indexed="64"/>
      </top>
      <bottom style="thin">
        <color rgb="FF000000"/>
      </bottom>
      <diagonal/>
    </border>
    <border>
      <left/>
      <right/>
      <top style="thin">
        <color rgb="FF000000"/>
      </top>
      <bottom style="thin">
        <color rgb="FF000000"/>
      </bottom>
      <diagonal/>
    </border>
    <border>
      <left style="medium">
        <color rgb="FF000000"/>
      </left>
      <right/>
      <top/>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8">
    <xf numFmtId="0" fontId="0" fillId="0" borderId="0"/>
    <xf numFmtId="0" fontId="1" fillId="0" borderId="1"/>
    <xf numFmtId="0" fontId="1" fillId="0" borderId="1"/>
    <xf numFmtId="166" fontId="3" fillId="0" borderId="1"/>
    <xf numFmtId="0" fontId="4" fillId="0" borderId="1"/>
    <xf numFmtId="0" fontId="5" fillId="0" borderId="1"/>
    <xf numFmtId="9" fontId="6" fillId="0" borderId="0" applyFont="0" applyFill="0" applyBorder="0" applyAlignment="0" applyProtection="0"/>
    <xf numFmtId="9" fontId="4" fillId="0" borderId="1" applyFont="0" applyFill="0" applyBorder="0" applyAlignment="0" applyProtection="0"/>
  </cellStyleXfs>
  <cellXfs count="239">
    <xf numFmtId="0" fontId="0" fillId="0" borderId="0" xfId="0"/>
    <xf numFmtId="0" fontId="2" fillId="3" borderId="0" xfId="0" applyFont="1" applyFill="1"/>
    <xf numFmtId="0" fontId="2" fillId="3" borderId="0" xfId="0" applyFont="1" applyFill="1" applyAlignment="1">
      <alignment vertical="center"/>
    </xf>
    <xf numFmtId="0" fontId="7" fillId="3" borderId="1" xfId="0" applyFont="1" applyFill="1" applyBorder="1"/>
    <xf numFmtId="0" fontId="7" fillId="3" borderId="0" xfId="0" applyFont="1" applyFill="1"/>
    <xf numFmtId="4" fontId="4" fillId="3" borderId="1" xfId="0" applyNumberFormat="1" applyFont="1" applyFill="1" applyBorder="1" applyAlignment="1">
      <alignment horizontal="center" vertical="center"/>
    </xf>
    <xf numFmtId="4" fontId="8" fillId="3" borderId="1" xfId="0" applyNumberFormat="1" applyFont="1" applyFill="1" applyBorder="1" applyAlignment="1">
      <alignment horizontal="center" vertical="center"/>
    </xf>
    <xf numFmtId="4" fontId="8" fillId="2" borderId="1" xfId="0" applyNumberFormat="1" applyFont="1" applyFill="1" applyBorder="1" applyAlignment="1">
      <alignment vertical="center"/>
    </xf>
    <xf numFmtId="0" fontId="9" fillId="2" borderId="1" xfId="0" applyFont="1" applyFill="1" applyBorder="1" applyAlignment="1">
      <alignment horizontal="center" vertical="center" wrapText="1"/>
    </xf>
    <xf numFmtId="0" fontId="12" fillId="3" borderId="1" xfId="0" applyFont="1" applyFill="1" applyBorder="1"/>
    <xf numFmtId="0" fontId="10" fillId="8" borderId="1" xfId="0" applyFont="1" applyFill="1" applyBorder="1" applyAlignment="1">
      <alignment vertical="center"/>
    </xf>
    <xf numFmtId="4" fontId="8" fillId="2" borderId="1" xfId="0" applyNumberFormat="1" applyFont="1" applyFill="1" applyBorder="1" applyAlignment="1">
      <alignment horizontal="center" vertical="center"/>
    </xf>
    <xf numFmtId="0" fontId="9" fillId="12" borderId="12" xfId="0" applyFont="1" applyFill="1" applyBorder="1" applyAlignment="1">
      <alignment horizontal="center" vertical="center" wrapText="1"/>
    </xf>
    <xf numFmtId="0" fontId="9" fillId="14" borderId="12" xfId="0" applyFont="1" applyFill="1" applyBorder="1" applyAlignment="1">
      <alignment horizontal="center" vertical="center" textRotation="90" wrapText="1"/>
    </xf>
    <xf numFmtId="4" fontId="14" fillId="2" borderId="3" xfId="0" applyNumberFormat="1" applyFont="1" applyFill="1" applyBorder="1" applyAlignment="1">
      <alignment vertical="center"/>
    </xf>
    <xf numFmtId="0" fontId="15" fillId="3" borderId="0" xfId="0" applyFont="1" applyFill="1"/>
    <xf numFmtId="0" fontId="7" fillId="3" borderId="0" xfId="0" applyFont="1" applyFill="1" applyAlignment="1">
      <alignment vertical="center"/>
    </xf>
    <xf numFmtId="0" fontId="16" fillId="3" borderId="0" xfId="0" applyFont="1" applyFill="1"/>
    <xf numFmtId="0" fontId="13" fillId="3" borderId="1" xfId="0" applyFont="1" applyFill="1" applyBorder="1"/>
    <xf numFmtId="10" fontId="17" fillId="3" borderId="0" xfId="0" applyNumberFormat="1" applyFont="1" applyFill="1"/>
    <xf numFmtId="0" fontId="17" fillId="3" borderId="0" xfId="0" applyFont="1" applyFill="1"/>
    <xf numFmtId="0" fontId="18" fillId="3" borderId="1" xfId="1" applyFont="1" applyFill="1"/>
    <xf numFmtId="10" fontId="18" fillId="3" borderId="30" xfId="1" applyNumberFormat="1" applyFont="1" applyFill="1" applyBorder="1" applyAlignment="1">
      <alignment horizontal="center" vertical="center"/>
    </xf>
    <xf numFmtId="165" fontId="18" fillId="3" borderId="1" xfId="1" applyNumberFormat="1" applyFont="1" applyFill="1"/>
    <xf numFmtId="164" fontId="18" fillId="3" borderId="1" xfId="1" applyNumberFormat="1" applyFont="1" applyFill="1"/>
    <xf numFmtId="2" fontId="18" fillId="3" borderId="1" xfId="1" applyNumberFormat="1" applyFont="1" applyFill="1"/>
    <xf numFmtId="0" fontId="22" fillId="16" borderId="33" xfId="1" applyFont="1" applyFill="1" applyBorder="1" applyAlignment="1">
      <alignment horizontal="center" vertical="center" wrapText="1"/>
    </xf>
    <xf numFmtId="0" fontId="23" fillId="16" borderId="35" xfId="1" applyFont="1" applyFill="1" applyBorder="1" applyAlignment="1">
      <alignment horizontal="center" vertical="center"/>
    </xf>
    <xf numFmtId="0" fontId="22" fillId="16" borderId="29" xfId="1" applyFont="1" applyFill="1" applyBorder="1" applyAlignment="1">
      <alignment horizontal="center" vertical="center" wrapText="1"/>
    </xf>
    <xf numFmtId="0" fontId="18" fillId="3" borderId="0" xfId="0" applyFont="1" applyFill="1"/>
    <xf numFmtId="0" fontId="22" fillId="16" borderId="34" xfId="1" applyFont="1" applyFill="1" applyBorder="1" applyAlignment="1">
      <alignment horizontal="center" vertical="center" wrapText="1"/>
    </xf>
    <xf numFmtId="10" fontId="22" fillId="16" borderId="3" xfId="1" applyNumberFormat="1" applyFont="1" applyFill="1" applyBorder="1" applyAlignment="1">
      <alignment horizontal="center" vertical="center"/>
    </xf>
    <xf numFmtId="0" fontId="22" fillId="16" borderId="3" xfId="2" applyFont="1" applyFill="1" applyBorder="1" applyAlignment="1">
      <alignment horizontal="center" vertical="center" wrapText="1"/>
    </xf>
    <xf numFmtId="0" fontId="18" fillId="2" borderId="36" xfId="0" applyFont="1" applyFill="1" applyBorder="1" applyAlignment="1">
      <alignment horizontal="justify" vertical="center" wrapText="1"/>
    </xf>
    <xf numFmtId="10" fontId="22" fillId="16" borderId="30" xfId="1" applyNumberFormat="1" applyFont="1" applyFill="1" applyBorder="1" applyAlignment="1">
      <alignment horizontal="center" vertical="center"/>
    </xf>
    <xf numFmtId="0" fontId="25" fillId="16" borderId="3" xfId="2" applyFont="1" applyFill="1" applyBorder="1" applyAlignment="1">
      <alignment horizontal="center" vertical="center" wrapText="1"/>
    </xf>
    <xf numFmtId="0" fontId="18" fillId="3" borderId="1" xfId="1" applyFont="1" applyFill="1" applyAlignment="1">
      <alignment vertical="center"/>
    </xf>
    <xf numFmtId="0" fontId="1" fillId="3" borderId="1" xfId="1" applyFill="1"/>
    <xf numFmtId="0" fontId="24" fillId="3" borderId="34" xfId="2" applyFont="1" applyFill="1" applyBorder="1" applyAlignment="1">
      <alignment horizontal="center" vertical="center" wrapText="1"/>
    </xf>
    <xf numFmtId="10" fontId="24" fillId="3" borderId="34" xfId="1" applyNumberFormat="1" applyFont="1" applyFill="1" applyBorder="1" applyAlignment="1">
      <alignment horizontal="center" vertical="center"/>
    </xf>
    <xf numFmtId="0" fontId="27" fillId="3" borderId="1" xfId="1" applyFont="1" applyFill="1"/>
    <xf numFmtId="0" fontId="4" fillId="3" borderId="3" xfId="2" applyFont="1" applyFill="1" applyBorder="1" applyAlignment="1">
      <alignment horizontal="justify" vertical="center" wrapText="1"/>
    </xf>
    <xf numFmtId="10" fontId="4" fillId="3" borderId="3" xfId="1" applyNumberFormat="1" applyFont="1" applyFill="1" applyBorder="1" applyAlignment="1">
      <alignment horizontal="center" vertical="center"/>
    </xf>
    <xf numFmtId="0" fontId="4" fillId="3" borderId="3" xfId="1" applyFont="1" applyFill="1" applyBorder="1" applyAlignment="1">
      <alignment horizontal="justify" vertical="center" wrapText="1"/>
    </xf>
    <xf numFmtId="0" fontId="4" fillId="3" borderId="1" xfId="1" applyFont="1" applyFill="1"/>
    <xf numFmtId="10" fontId="25" fillId="16" borderId="3" xfId="6" applyNumberFormat="1" applyFont="1" applyFill="1" applyBorder="1" applyAlignment="1">
      <alignment horizontal="center" vertical="center" wrapText="1"/>
    </xf>
    <xf numFmtId="0" fontId="22" fillId="16" borderId="3" xfId="1" applyFont="1" applyFill="1" applyBorder="1" applyAlignment="1">
      <alignment horizontal="center" vertical="center" wrapText="1"/>
    </xf>
    <xf numFmtId="10" fontId="18" fillId="3" borderId="3" xfId="1" applyNumberFormat="1" applyFont="1" applyFill="1" applyBorder="1" applyAlignment="1">
      <alignment horizontal="center" vertical="center"/>
    </xf>
    <xf numFmtId="9" fontId="18" fillId="3" borderId="3" xfId="1" applyNumberFormat="1" applyFont="1" applyFill="1" applyBorder="1" applyAlignment="1">
      <alignment horizontal="center" vertical="center" wrapText="1"/>
    </xf>
    <xf numFmtId="10" fontId="18" fillId="3" borderId="3" xfId="1" applyNumberFormat="1" applyFont="1" applyFill="1" applyBorder="1" applyAlignment="1">
      <alignment horizontal="center" vertical="center" wrapText="1"/>
    </xf>
    <xf numFmtId="0" fontId="24" fillId="3" borderId="3" xfId="2" applyFont="1" applyFill="1" applyBorder="1" applyAlignment="1">
      <alignment horizontal="justify" vertical="center" wrapText="1"/>
    </xf>
    <xf numFmtId="0" fontId="7" fillId="3" borderId="0" xfId="0" applyFont="1" applyFill="1" applyAlignment="1">
      <alignment horizontal="center"/>
    </xf>
    <xf numFmtId="0" fontId="12" fillId="3" borderId="1" xfId="0" applyFont="1" applyFill="1" applyBorder="1" applyAlignment="1">
      <alignment horizontal="center"/>
    </xf>
    <xf numFmtId="0" fontId="2" fillId="3" borderId="0" xfId="0" applyFont="1" applyFill="1" applyAlignment="1">
      <alignment horizontal="center"/>
    </xf>
    <xf numFmtId="0" fontId="9" fillId="13" borderId="12" xfId="0" applyFont="1" applyFill="1" applyBorder="1" applyAlignment="1">
      <alignment horizontal="center" vertical="center" textRotation="90" wrapText="1"/>
    </xf>
    <xf numFmtId="0" fontId="0" fillId="3" borderId="0" xfId="0" applyFill="1"/>
    <xf numFmtId="0" fontId="4" fillId="3" borderId="0" xfId="0" applyFont="1" applyFill="1"/>
    <xf numFmtId="0" fontId="7" fillId="3" borderId="0" xfId="0" applyFont="1" applyFill="1" applyAlignment="1">
      <alignment horizontal="center" vertical="center"/>
    </xf>
    <xf numFmtId="0" fontId="2" fillId="3" borderId="0" xfId="0" applyFont="1" applyFill="1" applyAlignment="1">
      <alignment horizontal="center" vertical="center"/>
    </xf>
    <xf numFmtId="10" fontId="7" fillId="17" borderId="34" xfId="1" applyNumberFormat="1" applyFont="1" applyFill="1" applyBorder="1" applyAlignment="1">
      <alignment horizontal="center" vertical="center"/>
    </xf>
    <xf numFmtId="10" fontId="7" fillId="17" borderId="30" xfId="1" applyNumberFormat="1" applyFont="1" applyFill="1" applyBorder="1" applyAlignment="1">
      <alignment horizontal="center" vertical="center"/>
    </xf>
    <xf numFmtId="0" fontId="0" fillId="17" borderId="40" xfId="0" applyFill="1" applyBorder="1"/>
    <xf numFmtId="10" fontId="0" fillId="17" borderId="30" xfId="0" applyNumberFormat="1" applyFill="1" applyBorder="1"/>
    <xf numFmtId="10" fontId="7" fillId="17" borderId="34" xfId="1" applyNumberFormat="1" applyFont="1" applyFill="1" applyBorder="1" applyAlignment="1">
      <alignment horizontal="center" vertical="center" wrapText="1"/>
    </xf>
    <xf numFmtId="10" fontId="7" fillId="17" borderId="30" xfId="1" applyNumberFormat="1" applyFont="1" applyFill="1" applyBorder="1" applyAlignment="1">
      <alignment horizontal="center" vertical="center" wrapText="1"/>
    </xf>
    <xf numFmtId="0" fontId="0" fillId="17" borderId="39" xfId="0" applyFill="1" applyBorder="1"/>
    <xf numFmtId="10" fontId="0" fillId="17" borderId="38" xfId="0" applyNumberFormat="1" applyFill="1" applyBorder="1"/>
    <xf numFmtId="9" fontId="18" fillId="3" borderId="3" xfId="6" applyFont="1" applyFill="1" applyBorder="1" applyAlignment="1">
      <alignment horizontal="center" vertical="center" wrapText="1"/>
    </xf>
    <xf numFmtId="9" fontId="4" fillId="6" borderId="24" xfId="0" applyNumberFormat="1" applyFont="1" applyFill="1" applyBorder="1" applyAlignment="1">
      <alignment horizontal="justify" vertical="center" wrapText="1"/>
    </xf>
    <xf numFmtId="0" fontId="0" fillId="17" borderId="41" xfId="0" applyFill="1" applyBorder="1"/>
    <xf numFmtId="10" fontId="0" fillId="17" borderId="32" xfId="0" applyNumberFormat="1" applyFill="1" applyBorder="1"/>
    <xf numFmtId="10" fontId="9" fillId="13" borderId="12" xfId="0" applyNumberFormat="1" applyFont="1" applyFill="1" applyBorder="1" applyAlignment="1">
      <alignment horizontal="center" vertical="center" textRotation="90" wrapText="1"/>
    </xf>
    <xf numFmtId="0" fontId="15" fillId="18" borderId="0" xfId="0" applyFont="1" applyFill="1"/>
    <xf numFmtId="0" fontId="4" fillId="18" borderId="0" xfId="0" applyFont="1" applyFill="1"/>
    <xf numFmtId="0" fontId="4" fillId="2" borderId="3" xfId="0" applyFont="1" applyFill="1" applyBorder="1" applyAlignment="1">
      <alignment horizontal="center" vertical="center" wrapText="1"/>
    </xf>
    <xf numFmtId="0" fontId="29" fillId="2" borderId="2" xfId="0" applyFont="1" applyFill="1" applyBorder="1" applyAlignment="1">
      <alignment horizontal="left" vertical="center" wrapText="1"/>
    </xf>
    <xf numFmtId="0" fontId="29" fillId="2" borderId="23"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5" fillId="0" borderId="0" xfId="0" applyFont="1"/>
    <xf numFmtId="0" fontId="18" fillId="0" borderId="1" xfId="0" applyFont="1" applyBorder="1"/>
    <xf numFmtId="0" fontId="5" fillId="0" borderId="1" xfId="0" applyFont="1" applyBorder="1"/>
    <xf numFmtId="0" fontId="9" fillId="0" borderId="10" xfId="0" applyFont="1" applyBorder="1"/>
    <xf numFmtId="0" fontId="9" fillId="2" borderId="3" xfId="0" applyFont="1" applyFill="1" applyBorder="1" applyAlignment="1">
      <alignment horizontal="center" vertical="center" wrapText="1"/>
    </xf>
    <xf numFmtId="1" fontId="4" fillId="2" borderId="3" xfId="0" applyNumberFormat="1" applyFont="1" applyFill="1" applyBorder="1" applyAlignment="1">
      <alignment horizontal="center" vertical="center" wrapText="1"/>
    </xf>
    <xf numFmtId="9" fontId="4" fillId="2" borderId="3" xfId="0" applyNumberFormat="1"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1" fontId="4" fillId="6" borderId="3" xfId="6" applyNumberFormat="1" applyFont="1" applyFill="1" applyBorder="1" applyAlignment="1">
      <alignment horizontal="center" vertical="center" wrapText="1"/>
    </xf>
    <xf numFmtId="10" fontId="4" fillId="6" borderId="3" xfId="0" applyNumberFormat="1" applyFont="1" applyFill="1" applyBorder="1" applyAlignment="1">
      <alignment horizontal="center" vertical="center" wrapText="1"/>
    </xf>
    <xf numFmtId="10" fontId="4" fillId="4" borderId="3" xfId="0" applyNumberFormat="1" applyFont="1" applyFill="1" applyBorder="1" applyAlignment="1">
      <alignment horizontal="center" vertical="center" wrapText="1"/>
    </xf>
    <xf numFmtId="2" fontId="4" fillId="4" borderId="3" xfId="0" applyNumberFormat="1" applyFont="1" applyFill="1" applyBorder="1" applyAlignment="1">
      <alignment horizontal="center" vertical="center" wrapText="1"/>
    </xf>
    <xf numFmtId="10" fontId="4" fillId="7" borderId="3" xfId="0" applyNumberFormat="1" applyFont="1" applyFill="1" applyBorder="1" applyAlignment="1">
      <alignment horizontal="center" vertical="center" wrapText="1"/>
    </xf>
    <xf numFmtId="10" fontId="4" fillId="5" borderId="3" xfId="0" applyNumberFormat="1" applyFont="1" applyFill="1" applyBorder="1" applyAlignment="1">
      <alignment horizontal="center" vertical="center" wrapText="1"/>
    </xf>
    <xf numFmtId="2" fontId="4" fillId="5" borderId="3" xfId="6" applyNumberFormat="1" applyFont="1" applyFill="1" applyBorder="1" applyAlignment="1">
      <alignment horizontal="center" vertical="center" wrapText="1"/>
    </xf>
    <xf numFmtId="10" fontId="9" fillId="3" borderId="3" xfId="0" applyNumberFormat="1" applyFont="1" applyFill="1" applyBorder="1" applyAlignment="1">
      <alignment horizontal="center" vertical="center"/>
    </xf>
    <xf numFmtId="10" fontId="9" fillId="3" borderId="18" xfId="0" applyNumberFormat="1" applyFont="1" applyFill="1" applyBorder="1" applyAlignment="1">
      <alignment horizontal="center" vertical="center"/>
    </xf>
    <xf numFmtId="10" fontId="4" fillId="2" borderId="3" xfId="0" applyNumberFormat="1" applyFont="1" applyFill="1" applyBorder="1" applyAlignment="1">
      <alignment horizontal="center" vertical="center" wrapText="1"/>
    </xf>
    <xf numFmtId="0" fontId="4" fillId="3" borderId="3" xfId="0" applyFont="1" applyFill="1" applyBorder="1" applyAlignment="1">
      <alignment horizontal="justify" vertical="center" wrapText="1"/>
    </xf>
    <xf numFmtId="10" fontId="4" fillId="2" borderId="5" xfId="0" applyNumberFormat="1"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1" fontId="4" fillId="4" borderId="3" xfId="0" applyNumberFormat="1" applyFont="1" applyFill="1" applyBorder="1" applyAlignment="1">
      <alignment horizontal="center" vertical="center" wrapText="1"/>
    </xf>
    <xf numFmtId="12" fontId="4" fillId="6" borderId="3"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2" borderId="47"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6" borderId="3" xfId="0" applyNumberFormat="1" applyFont="1" applyFill="1" applyBorder="1" applyAlignment="1">
      <alignment horizontal="center" vertical="center" wrapText="1"/>
    </xf>
    <xf numFmtId="1" fontId="4" fillId="7" borderId="3" xfId="0" applyNumberFormat="1" applyFont="1" applyFill="1" applyBorder="1" applyAlignment="1">
      <alignment horizontal="center" vertical="center" wrapText="1"/>
    </xf>
    <xf numFmtId="0" fontId="4" fillId="3" borderId="3" xfId="0" applyFont="1" applyFill="1" applyBorder="1" applyAlignment="1">
      <alignment horizontal="justify" vertical="center"/>
    </xf>
    <xf numFmtId="0" fontId="4"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10" fontId="4" fillId="6" borderId="3" xfId="6" applyNumberFormat="1" applyFont="1" applyFill="1" applyBorder="1" applyAlignment="1">
      <alignment horizontal="center" vertical="center" wrapText="1"/>
    </xf>
    <xf numFmtId="2" fontId="4" fillId="6" borderId="3" xfId="6" applyNumberFormat="1" applyFont="1" applyFill="1" applyBorder="1" applyAlignment="1">
      <alignment horizontal="center" vertical="center" wrapText="1"/>
    </xf>
    <xf numFmtId="3" fontId="4" fillId="0" borderId="3" xfId="6" applyNumberFormat="1" applyFont="1" applyFill="1" applyBorder="1" applyAlignment="1">
      <alignment horizontal="center" vertical="center" wrapText="1"/>
    </xf>
    <xf numFmtId="3" fontId="4" fillId="6" borderId="3" xfId="6" applyNumberFormat="1" applyFont="1" applyFill="1" applyBorder="1" applyAlignment="1">
      <alignment horizontal="center" vertical="center" wrapText="1"/>
    </xf>
    <xf numFmtId="10" fontId="4" fillId="0" borderId="3" xfId="6" applyNumberFormat="1" applyFont="1" applyFill="1" applyBorder="1" applyAlignment="1">
      <alignment horizontal="center" vertical="center" wrapText="1"/>
    </xf>
    <xf numFmtId="9" fontId="4" fillId="6" borderId="3" xfId="6" applyFont="1" applyFill="1" applyBorder="1" applyAlignment="1">
      <alignment horizontal="center" vertical="center" wrapText="1"/>
    </xf>
    <xf numFmtId="0" fontId="4" fillId="0" borderId="0" xfId="0" applyFont="1"/>
    <xf numFmtId="168" fontId="4" fillId="0" borderId="3" xfId="6" applyNumberFormat="1" applyFont="1" applyFill="1" applyBorder="1" applyAlignment="1">
      <alignment horizontal="center" vertical="center" wrapText="1"/>
    </xf>
    <xf numFmtId="167" fontId="4" fillId="4" borderId="3" xfId="0" applyNumberFormat="1" applyFont="1" applyFill="1" applyBorder="1" applyAlignment="1">
      <alignment horizontal="center" vertical="center" wrapText="1"/>
    </xf>
    <xf numFmtId="0" fontId="9" fillId="3" borderId="42" xfId="0" applyFont="1" applyFill="1" applyBorder="1"/>
    <xf numFmtId="0" fontId="9" fillId="3" borderId="10" xfId="0" applyFont="1" applyFill="1" applyBorder="1"/>
    <xf numFmtId="0" fontId="4" fillId="6" borderId="3" xfId="0" applyFont="1" applyFill="1" applyBorder="1" applyAlignment="1">
      <alignment horizontal="center" vertical="center" wrapText="1"/>
    </xf>
    <xf numFmtId="0" fontId="4" fillId="6" borderId="3" xfId="6" applyNumberFormat="1" applyFont="1" applyFill="1" applyBorder="1" applyAlignment="1">
      <alignment horizontal="center" vertical="center" wrapText="1"/>
    </xf>
    <xf numFmtId="9" fontId="4" fillId="2" borderId="3" xfId="6" applyFont="1" applyFill="1" applyBorder="1" applyAlignment="1">
      <alignment horizontal="center" vertical="center" wrapText="1"/>
    </xf>
    <xf numFmtId="9" fontId="4" fillId="4" borderId="3" xfId="6" applyFont="1" applyFill="1" applyBorder="1" applyAlignment="1">
      <alignment horizontal="center" vertical="center" wrapText="1"/>
    </xf>
    <xf numFmtId="9" fontId="4" fillId="7" borderId="3" xfId="6" applyFont="1" applyFill="1" applyBorder="1" applyAlignment="1">
      <alignment horizontal="center" vertical="center" wrapText="1"/>
    </xf>
    <xf numFmtId="9" fontId="4" fillId="5" borderId="3" xfId="6" applyFont="1" applyFill="1" applyBorder="1" applyAlignment="1">
      <alignment horizontal="center" vertical="center" wrapText="1"/>
    </xf>
    <xf numFmtId="1" fontId="4" fillId="19" borderId="3" xfId="0" applyNumberFormat="1" applyFont="1" applyFill="1" applyBorder="1" applyAlignment="1">
      <alignment horizontal="center" vertical="center" wrapText="1"/>
    </xf>
    <xf numFmtId="1" fontId="4" fillId="20" borderId="3" xfId="6" applyNumberFormat="1" applyFont="1" applyFill="1" applyBorder="1" applyAlignment="1">
      <alignment horizontal="center" vertical="center" wrapText="1"/>
    </xf>
    <xf numFmtId="9" fontId="13" fillId="15" borderId="17" xfId="0" applyNumberFormat="1" applyFont="1" applyFill="1" applyBorder="1" applyAlignment="1">
      <alignment horizontal="center" vertical="center" wrapText="1"/>
    </xf>
    <xf numFmtId="9" fontId="13" fillId="15" borderId="15" xfId="0" applyNumberFormat="1" applyFont="1" applyFill="1" applyBorder="1" applyAlignment="1">
      <alignment horizontal="center" vertical="center" wrapText="1"/>
    </xf>
    <xf numFmtId="0" fontId="9" fillId="12" borderId="21" xfId="0" applyFont="1" applyFill="1" applyBorder="1" applyAlignment="1">
      <alignment horizontal="center" vertical="center" wrapText="1"/>
    </xf>
    <xf numFmtId="0" fontId="9" fillId="12" borderId="20" xfId="0" applyFont="1" applyFill="1" applyBorder="1" applyAlignment="1">
      <alignment horizontal="center" vertical="center" wrapText="1"/>
    </xf>
    <xf numFmtId="0" fontId="24" fillId="3" borderId="18" xfId="2" applyFont="1" applyFill="1" applyBorder="1" applyAlignment="1">
      <alignment horizontal="center" vertical="center" wrapText="1"/>
    </xf>
    <xf numFmtId="0" fontId="22" fillId="16" borderId="51" xfId="1" applyFont="1" applyFill="1" applyBorder="1" applyAlignment="1">
      <alignment horizontal="center" vertical="center" wrapText="1"/>
    </xf>
    <xf numFmtId="10" fontId="22" fillId="16" borderId="33" xfId="1" applyNumberFormat="1" applyFont="1" applyFill="1" applyBorder="1" applyAlignment="1">
      <alignment horizontal="center" vertical="center"/>
    </xf>
    <xf numFmtId="10" fontId="24" fillId="3" borderId="50" xfId="1" applyNumberFormat="1" applyFont="1" applyFill="1" applyBorder="1" applyAlignment="1">
      <alignment horizontal="center" vertical="center"/>
    </xf>
    <xf numFmtId="0" fontId="9" fillId="12" borderId="20" xfId="0" applyFont="1" applyFill="1" applyBorder="1" applyAlignment="1">
      <alignment vertical="center" wrapText="1"/>
    </xf>
    <xf numFmtId="0" fontId="9" fillId="12" borderId="21" xfId="0" applyFont="1" applyFill="1" applyBorder="1" applyAlignment="1">
      <alignment vertical="center" wrapText="1"/>
    </xf>
    <xf numFmtId="0" fontId="9" fillId="12" borderId="15" xfId="0" applyFont="1" applyFill="1" applyBorder="1" applyAlignment="1">
      <alignment vertical="center" wrapText="1"/>
    </xf>
    <xf numFmtId="0" fontId="9" fillId="12" borderId="27" xfId="0" applyFont="1" applyFill="1" applyBorder="1" applyAlignment="1">
      <alignment vertical="center" wrapText="1"/>
    </xf>
    <xf numFmtId="0" fontId="22" fillId="16" borderId="31" xfId="1" applyFont="1" applyFill="1" applyBorder="1" applyAlignment="1">
      <alignment horizontal="center" vertical="center" wrapText="1"/>
    </xf>
    <xf numFmtId="0" fontId="18" fillId="3" borderId="51" xfId="0" applyFont="1" applyFill="1" applyBorder="1"/>
    <xf numFmtId="0" fontId="18" fillId="3" borderId="3" xfId="0" applyFont="1" applyFill="1" applyBorder="1"/>
    <xf numFmtId="0" fontId="30" fillId="3" borderId="51" xfId="0" applyFont="1" applyFill="1" applyBorder="1"/>
    <xf numFmtId="0" fontId="30" fillId="3" borderId="3" xfId="0" applyFont="1" applyFill="1" applyBorder="1"/>
    <xf numFmtId="9" fontId="4" fillId="6" borderId="24" xfId="0" applyNumberFormat="1" applyFont="1" applyFill="1" applyBorder="1" applyAlignment="1">
      <alignment horizontal="justify" vertical="top" wrapText="1"/>
    </xf>
    <xf numFmtId="0" fontId="30" fillId="3" borderId="51" xfId="0" applyFont="1" applyFill="1" applyBorder="1" applyAlignment="1">
      <alignment horizontal="justify" vertical="center" wrapText="1"/>
    </xf>
    <xf numFmtId="0" fontId="30" fillId="3" borderId="3" xfId="0" applyFont="1" applyFill="1" applyBorder="1" applyAlignment="1">
      <alignment horizontal="justify" vertical="center" wrapText="1"/>
    </xf>
    <xf numFmtId="0" fontId="5" fillId="0" borderId="0" xfId="0" applyFont="1" applyAlignment="1">
      <alignment horizontal="justify" vertical="center"/>
    </xf>
    <xf numFmtId="9" fontId="13" fillId="15" borderId="3" xfId="0" applyNumberFormat="1" applyFont="1" applyFill="1" applyBorder="1" applyAlignment="1">
      <alignment horizontal="center" vertical="center" wrapText="1"/>
    </xf>
    <xf numFmtId="9" fontId="13" fillId="21" borderId="21" xfId="0" applyNumberFormat="1" applyFont="1" applyFill="1" applyBorder="1" applyAlignment="1">
      <alignment horizontal="center" vertical="center" wrapText="1"/>
    </xf>
    <xf numFmtId="0" fontId="4" fillId="22" borderId="3" xfId="0" applyFont="1" applyFill="1" applyBorder="1" applyAlignment="1">
      <alignment horizontal="center" vertical="center" wrapText="1"/>
    </xf>
    <xf numFmtId="9" fontId="4" fillId="21" borderId="5" xfId="0" applyNumberFormat="1" applyFont="1" applyFill="1" applyBorder="1" applyAlignment="1">
      <alignment horizontal="justify" vertical="center" wrapText="1"/>
    </xf>
    <xf numFmtId="4" fontId="10" fillId="11" borderId="18" xfId="0" applyNumberFormat="1" applyFont="1" applyFill="1" applyBorder="1" applyAlignment="1">
      <alignment horizontal="center" vertical="center"/>
    </xf>
    <xf numFmtId="4" fontId="10" fillId="11" borderId="22" xfId="0" applyNumberFormat="1" applyFont="1" applyFill="1" applyBorder="1" applyAlignment="1">
      <alignment horizontal="center" vertical="center"/>
    </xf>
    <xf numFmtId="4" fontId="10" fillId="11" borderId="19"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0" fillId="2" borderId="22" xfId="0" applyNumberFormat="1" applyFont="1" applyFill="1" applyBorder="1" applyAlignment="1">
      <alignment horizontal="center" vertical="center"/>
    </xf>
    <xf numFmtId="49" fontId="10" fillId="2" borderId="19" xfId="0" applyNumberFormat="1" applyFont="1" applyFill="1" applyBorder="1" applyAlignment="1">
      <alignment horizontal="center" vertical="center"/>
    </xf>
    <xf numFmtId="0" fontId="10" fillId="10" borderId="18" xfId="0" applyFont="1" applyFill="1" applyBorder="1" applyAlignment="1">
      <alignment horizontal="center" vertical="center"/>
    </xf>
    <xf numFmtId="0" fontId="10" fillId="10" borderId="22" xfId="0" applyFont="1" applyFill="1" applyBorder="1" applyAlignment="1">
      <alignment horizontal="center" vertical="center"/>
    </xf>
    <xf numFmtId="0" fontId="10" fillId="10" borderId="19" xfId="0" applyFont="1" applyFill="1" applyBorder="1" applyAlignment="1">
      <alignment horizontal="center" vertical="center"/>
    </xf>
    <xf numFmtId="10" fontId="9" fillId="2" borderId="24" xfId="0" applyNumberFormat="1" applyFont="1" applyFill="1" applyBorder="1" applyAlignment="1">
      <alignment horizontal="center" vertical="center" wrapText="1"/>
    </xf>
    <xf numFmtId="0" fontId="9" fillId="3" borderId="28" xfId="0" applyFont="1" applyFill="1" applyBorder="1"/>
    <xf numFmtId="10" fontId="9" fillId="2" borderId="13" xfId="0" applyNumberFormat="1" applyFont="1" applyFill="1" applyBorder="1" applyAlignment="1">
      <alignment horizontal="center" vertical="center" wrapText="1"/>
    </xf>
    <xf numFmtId="10" fontId="9" fillId="3" borderId="11" xfId="0" applyNumberFormat="1" applyFont="1" applyFill="1" applyBorder="1"/>
    <xf numFmtId="10" fontId="9" fillId="3" borderId="16" xfId="0" applyNumberFormat="1" applyFont="1" applyFill="1" applyBorder="1"/>
    <xf numFmtId="10" fontId="9" fillId="2" borderId="24" xfId="6" applyNumberFormat="1" applyFont="1" applyFill="1" applyBorder="1" applyAlignment="1">
      <alignment horizontal="center" vertical="center" wrapText="1"/>
    </xf>
    <xf numFmtId="10" fontId="9" fillId="3" borderId="11" xfId="6" applyNumberFormat="1" applyFont="1" applyFill="1" applyBorder="1"/>
    <xf numFmtId="10" fontId="9" fillId="3" borderId="37" xfId="6" applyNumberFormat="1" applyFont="1" applyFill="1" applyBorder="1"/>
    <xf numFmtId="10" fontId="9" fillId="3" borderId="28" xfId="6" applyNumberFormat="1" applyFont="1" applyFill="1" applyBorder="1"/>
    <xf numFmtId="10" fontId="9" fillId="2" borderId="45" xfId="0" applyNumberFormat="1" applyFont="1" applyFill="1" applyBorder="1" applyAlignment="1">
      <alignment horizontal="center" vertical="center" wrapText="1"/>
    </xf>
    <xf numFmtId="0" fontId="9" fillId="3" borderId="46" xfId="0" applyFont="1" applyFill="1" applyBorder="1"/>
    <xf numFmtId="0" fontId="9" fillId="3" borderId="11" xfId="0" applyFont="1" applyFill="1" applyBorder="1"/>
    <xf numFmtId="10" fontId="9" fillId="3" borderId="28" xfId="0" applyNumberFormat="1" applyFont="1" applyFill="1" applyBorder="1"/>
    <xf numFmtId="10" fontId="9" fillId="2" borderId="11" xfId="0" applyNumberFormat="1" applyFont="1" applyFill="1" applyBorder="1" applyAlignment="1">
      <alignment horizontal="center" vertical="center" wrapText="1"/>
    </xf>
    <xf numFmtId="10" fontId="4" fillId="2" borderId="28" xfId="0" applyNumberFormat="1" applyFont="1" applyFill="1" applyBorder="1" applyAlignment="1">
      <alignment horizontal="center" vertical="center" wrapText="1"/>
    </xf>
    <xf numFmtId="10" fontId="9" fillId="3" borderId="37" xfId="0" applyNumberFormat="1" applyFont="1" applyFill="1" applyBorder="1"/>
    <xf numFmtId="10" fontId="9" fillId="3" borderId="48" xfId="6" applyNumberFormat="1" applyFont="1" applyFill="1" applyBorder="1" applyAlignment="1">
      <alignment horizontal="center" vertical="center"/>
    </xf>
    <xf numFmtId="10" fontId="9" fillId="3" borderId="36" xfId="6" applyNumberFormat="1" applyFont="1" applyFill="1" applyBorder="1" applyAlignment="1">
      <alignment horizontal="center" vertical="center"/>
    </xf>
    <xf numFmtId="10" fontId="9" fillId="3" borderId="49" xfId="6" applyNumberFormat="1" applyFont="1" applyFill="1" applyBorder="1" applyAlignment="1">
      <alignment horizontal="center" vertical="center"/>
    </xf>
    <xf numFmtId="10" fontId="9" fillId="2" borderId="15" xfId="0" applyNumberFormat="1" applyFont="1" applyFill="1" applyBorder="1" applyAlignment="1">
      <alignment horizontal="center" vertical="center" wrapText="1"/>
    </xf>
    <xf numFmtId="10" fontId="9" fillId="2" borderId="10" xfId="0" applyNumberFormat="1" applyFont="1" applyFill="1" applyBorder="1" applyAlignment="1">
      <alignment horizontal="center" vertical="center" wrapText="1"/>
    </xf>
    <xf numFmtId="10" fontId="9" fillId="2" borderId="12" xfId="0" applyNumberFormat="1" applyFont="1" applyFill="1" applyBorder="1" applyAlignment="1">
      <alignment horizontal="center" vertical="center" wrapText="1"/>
    </xf>
    <xf numFmtId="4" fontId="24" fillId="0" borderId="1" xfId="0" applyNumberFormat="1" applyFont="1" applyBorder="1" applyAlignment="1">
      <alignment horizontal="center" vertical="center"/>
    </xf>
    <xf numFmtId="0" fontId="18" fillId="0" borderId="1" xfId="0" applyFont="1" applyBorder="1"/>
    <xf numFmtId="0" fontId="10" fillId="8" borderId="18" xfId="0" applyFont="1" applyFill="1" applyBorder="1" applyAlignment="1">
      <alignment horizontal="center" vertical="center"/>
    </xf>
    <xf numFmtId="0" fontId="10" fillId="8" borderId="22" xfId="0" applyFont="1" applyFill="1" applyBorder="1" applyAlignment="1">
      <alignment horizontal="center" vertical="center"/>
    </xf>
    <xf numFmtId="0" fontId="10" fillId="8" borderId="19"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19" xfId="0" applyFont="1" applyFill="1" applyBorder="1" applyAlignment="1">
      <alignment horizontal="center" vertical="center"/>
    </xf>
    <xf numFmtId="0" fontId="9" fillId="12" borderId="25" xfId="0" applyFont="1" applyFill="1" applyBorder="1" applyAlignment="1">
      <alignment horizontal="center" vertical="center" wrapText="1"/>
    </xf>
    <xf numFmtId="0" fontId="7" fillId="10" borderId="14" xfId="0" applyFont="1" applyFill="1" applyBorder="1"/>
    <xf numFmtId="0" fontId="7" fillId="10" borderId="26" xfId="0" applyFont="1" applyFill="1" applyBorder="1"/>
    <xf numFmtId="0" fontId="9" fillId="13" borderId="25" xfId="0" applyFont="1" applyFill="1" applyBorder="1" applyAlignment="1">
      <alignment horizontal="center" vertical="center" wrapText="1"/>
    </xf>
    <xf numFmtId="0" fontId="9" fillId="13" borderId="14" xfId="0" applyFont="1" applyFill="1" applyBorder="1" applyAlignment="1">
      <alignment horizontal="center" vertical="center" wrapText="1"/>
    </xf>
    <xf numFmtId="0" fontId="9" fillId="13" borderId="26" xfId="0" applyFont="1" applyFill="1" applyBorder="1" applyAlignment="1">
      <alignment horizontal="center" vertical="center" wrapText="1"/>
    </xf>
    <xf numFmtId="0" fontId="9" fillId="14" borderId="25" xfId="0" applyFont="1" applyFill="1" applyBorder="1" applyAlignment="1">
      <alignment horizontal="center" vertical="center" wrapText="1"/>
    </xf>
    <xf numFmtId="0" fontId="9" fillId="14" borderId="14" xfId="0" applyFont="1" applyFill="1" applyBorder="1" applyAlignment="1">
      <alignment horizontal="center" vertical="center" wrapText="1"/>
    </xf>
    <xf numFmtId="0" fontId="9" fillId="14" borderId="26" xfId="0" applyFont="1" applyFill="1" applyBorder="1" applyAlignment="1">
      <alignment horizontal="center" vertical="center" wrapText="1"/>
    </xf>
    <xf numFmtId="0" fontId="10" fillId="9" borderId="18" xfId="0" applyFont="1" applyFill="1" applyBorder="1" applyAlignment="1">
      <alignment horizontal="center" vertical="center"/>
    </xf>
    <xf numFmtId="0" fontId="10" fillId="9" borderId="22" xfId="0" applyFont="1" applyFill="1" applyBorder="1" applyAlignment="1">
      <alignment horizontal="center" vertical="center"/>
    </xf>
    <xf numFmtId="0" fontId="10" fillId="9" borderId="19" xfId="0" applyFont="1" applyFill="1" applyBorder="1" applyAlignment="1">
      <alignment horizontal="center" vertical="center"/>
    </xf>
    <xf numFmtId="4" fontId="4" fillId="3" borderId="4" xfId="0" applyNumberFormat="1" applyFont="1" applyFill="1" applyBorder="1" applyAlignment="1">
      <alignment horizontal="center" vertical="center"/>
    </xf>
    <xf numFmtId="4" fontId="4" fillId="3" borderId="5" xfId="0" applyNumberFormat="1" applyFont="1" applyFill="1" applyBorder="1" applyAlignment="1">
      <alignment horizontal="center" vertical="center"/>
    </xf>
    <xf numFmtId="4" fontId="4" fillId="3" borderId="6" xfId="0" applyNumberFormat="1" applyFont="1" applyFill="1" applyBorder="1" applyAlignment="1">
      <alignment horizontal="center" vertical="center"/>
    </xf>
    <xf numFmtId="4" fontId="4" fillId="3" borderId="44"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4" fontId="4" fillId="3" borderId="43" xfId="0" applyNumberFormat="1" applyFont="1" applyFill="1" applyBorder="1" applyAlignment="1">
      <alignment horizontal="center" vertical="center"/>
    </xf>
    <xf numFmtId="4" fontId="4" fillId="3" borderId="7" xfId="0" applyNumberFormat="1" applyFont="1" applyFill="1" applyBorder="1" applyAlignment="1">
      <alignment horizontal="center" vertical="center"/>
    </xf>
    <xf numFmtId="4" fontId="4" fillId="3" borderId="8" xfId="0" applyNumberFormat="1" applyFont="1" applyFill="1" applyBorder="1" applyAlignment="1">
      <alignment horizontal="center" vertical="center"/>
    </xf>
    <xf numFmtId="4" fontId="4" fillId="3" borderId="9" xfId="0" applyNumberFormat="1" applyFont="1" applyFill="1" applyBorder="1" applyAlignment="1">
      <alignment horizontal="center" vertical="center"/>
    </xf>
    <xf numFmtId="0" fontId="9" fillId="12" borderId="22"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9" fillId="12" borderId="18" xfId="0" applyFont="1" applyFill="1" applyBorder="1" applyAlignment="1">
      <alignment horizontal="center" vertical="center" wrapText="1"/>
    </xf>
    <xf numFmtId="4" fontId="8" fillId="3" borderId="4" xfId="0" applyNumberFormat="1" applyFont="1" applyFill="1" applyBorder="1" applyAlignment="1">
      <alignment horizontal="center" vertical="center" wrapText="1"/>
    </xf>
    <xf numFmtId="4" fontId="8" fillId="3" borderId="5" xfId="0" applyNumberFormat="1" applyFont="1" applyFill="1" applyBorder="1" applyAlignment="1">
      <alignment horizontal="center" vertical="center" wrapText="1"/>
    </xf>
    <xf numFmtId="4" fontId="8" fillId="3" borderId="6" xfId="0" applyNumberFormat="1" applyFont="1" applyFill="1" applyBorder="1" applyAlignment="1">
      <alignment horizontal="center" vertical="center" wrapText="1"/>
    </xf>
    <xf numFmtId="4" fontId="8" fillId="3" borderId="7" xfId="0" applyNumberFormat="1" applyFont="1" applyFill="1" applyBorder="1" applyAlignment="1">
      <alignment horizontal="center" vertical="center" wrapText="1"/>
    </xf>
    <xf numFmtId="4" fontId="8" fillId="3" borderId="8" xfId="0" applyNumberFormat="1" applyFont="1" applyFill="1" applyBorder="1" applyAlignment="1">
      <alignment horizontal="center" vertical="center" wrapText="1"/>
    </xf>
    <xf numFmtId="4" fontId="8" fillId="3" borderId="9" xfId="0" applyNumberFormat="1" applyFont="1" applyFill="1" applyBorder="1" applyAlignment="1">
      <alignment horizontal="center" vertical="center" wrapText="1"/>
    </xf>
    <xf numFmtId="4" fontId="8" fillId="3" borderId="18" xfId="0" applyNumberFormat="1" applyFont="1" applyFill="1" applyBorder="1" applyAlignment="1">
      <alignment horizontal="center" vertical="center"/>
    </xf>
    <xf numFmtId="4" fontId="8" fillId="3" borderId="22" xfId="0" applyNumberFormat="1" applyFont="1" applyFill="1" applyBorder="1" applyAlignment="1">
      <alignment horizontal="center" vertical="center"/>
    </xf>
    <xf numFmtId="4" fontId="8" fillId="3" borderId="19" xfId="0" applyNumberFormat="1" applyFont="1" applyFill="1" applyBorder="1" applyAlignment="1">
      <alignment horizontal="center" vertical="center"/>
    </xf>
    <xf numFmtId="10" fontId="19" fillId="17" borderId="31" xfId="1" applyNumberFormat="1" applyFont="1" applyFill="1" applyBorder="1" applyAlignment="1">
      <alignment horizontal="center" vertical="center"/>
    </xf>
    <xf numFmtId="0" fontId="21" fillId="16" borderId="18" xfId="1" applyFont="1" applyFill="1" applyBorder="1" applyAlignment="1">
      <alignment horizontal="center" wrapText="1"/>
    </xf>
    <xf numFmtId="0" fontId="21" fillId="16" borderId="22" xfId="1" applyFont="1" applyFill="1" applyBorder="1" applyAlignment="1">
      <alignment horizontal="center" wrapText="1"/>
    </xf>
    <xf numFmtId="0" fontId="21" fillId="16" borderId="19" xfId="1" applyFont="1" applyFill="1" applyBorder="1" applyAlignment="1">
      <alignment horizontal="center" wrapText="1"/>
    </xf>
    <xf numFmtId="0" fontId="20" fillId="16" borderId="3" xfId="1" applyFont="1" applyFill="1" applyBorder="1" applyAlignment="1">
      <alignment horizontal="center"/>
    </xf>
    <xf numFmtId="0" fontId="20" fillId="16" borderId="3" xfId="1" applyFont="1" applyFill="1" applyBorder="1" applyAlignment="1">
      <alignment horizontal="center" vertical="center"/>
    </xf>
    <xf numFmtId="0" fontId="26" fillId="16" borderId="3" xfId="1" applyFont="1" applyFill="1" applyBorder="1" applyAlignment="1">
      <alignment horizontal="center"/>
    </xf>
    <xf numFmtId="0" fontId="28" fillId="16" borderId="3" xfId="1" applyFont="1" applyFill="1" applyBorder="1" applyAlignment="1">
      <alignment horizontal="center" vertical="center"/>
    </xf>
    <xf numFmtId="0" fontId="22" fillId="16" borderId="3" xfId="1" applyFont="1" applyFill="1" applyBorder="1" applyAlignment="1">
      <alignment horizontal="center"/>
    </xf>
    <xf numFmtId="0" fontId="23" fillId="16" borderId="3" xfId="1" applyFont="1" applyFill="1" applyBorder="1" applyAlignment="1">
      <alignment horizontal="center"/>
    </xf>
    <xf numFmtId="0" fontId="22" fillId="16" borderId="3" xfId="1" applyFont="1" applyFill="1" applyBorder="1" applyAlignment="1">
      <alignment horizontal="center" vertical="center"/>
    </xf>
    <xf numFmtId="0" fontId="15" fillId="0" borderId="3" xfId="0" applyFont="1" applyFill="1" applyBorder="1"/>
    <xf numFmtId="9" fontId="4" fillId="6" borderId="45" xfId="0" applyNumberFormat="1" applyFont="1" applyFill="1" applyBorder="1" applyAlignment="1">
      <alignment horizontal="justify" vertical="center" wrapText="1"/>
    </xf>
    <xf numFmtId="9" fontId="4" fillId="21" borderId="3" xfId="0" applyNumberFormat="1" applyFont="1" applyFill="1" applyBorder="1" applyAlignment="1">
      <alignment horizontal="justify" vertical="center" wrapText="1"/>
    </xf>
  </cellXfs>
  <cellStyles count="8">
    <cellStyle name="Millares 2 2" xfId="3" xr:uid="{00000000-0005-0000-0000-000000000000}"/>
    <cellStyle name="Normal" xfId="0" builtinId="0"/>
    <cellStyle name="Normal 2" xfId="1" xr:uid="{00000000-0005-0000-0000-000002000000}"/>
    <cellStyle name="Normal 2 2" xfId="2" xr:uid="{00000000-0005-0000-0000-000003000000}"/>
    <cellStyle name="Normal 2 2 2" xfId="4" xr:uid="{00000000-0005-0000-0000-000004000000}"/>
    <cellStyle name="Normal 3" xfId="5" xr:uid="{00000000-0005-0000-0000-000005000000}"/>
    <cellStyle name="Porcentaje" xfId="6" builtinId="5"/>
    <cellStyle name="Porcentaje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lt1"/>
                </a:solidFill>
                <a:latin typeface="+mn-lt"/>
                <a:ea typeface="+mn-ea"/>
                <a:cs typeface="+mn-cs"/>
              </a:defRPr>
            </a:pPr>
            <a:r>
              <a:rPr lang="es-CO" b="1"/>
              <a:t>% de Cumplimiento cuarto Trimestre</a:t>
            </a:r>
          </a:p>
        </c:rich>
      </c:tx>
      <c:layout>
        <c:manualLayout>
          <c:xMode val="edge"/>
          <c:yMode val="edge"/>
          <c:x val="0.26638592846028331"/>
          <c:y val="2.3324902705245606E-2"/>
        </c:manualLayout>
      </c:layout>
      <c:overlay val="0"/>
      <c:spPr>
        <a:noFill/>
        <a:ln>
          <a:noFill/>
        </a:ln>
        <a:effectLst/>
      </c:spPr>
      <c:txPr>
        <a:bodyPr rot="0" spcFirstLastPara="1" vertOverflow="ellipsis" vert="horz" wrap="square" anchor="ctr" anchorCtr="1"/>
        <a:lstStyle/>
        <a:p>
          <a:pPr>
            <a:defRPr sz="1800" b="1" i="0" u="none" strike="noStrike" kern="1200" cap="all" baseline="0">
              <a:solidFill>
                <a:schemeClr val="lt1"/>
              </a:solidFill>
              <a:latin typeface="+mn-lt"/>
              <a:ea typeface="+mn-ea"/>
              <a:cs typeface="+mn-cs"/>
            </a:defRPr>
          </a:pPr>
          <a:endParaRPr lang="es-419"/>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solidFill>
          <a:schemeClr val="bg1">
            <a:lumMod val="85000"/>
          </a:schemeClr>
        </a:solidFill>
        <a:ln>
          <a:noFill/>
        </a:ln>
        <a:effectLst/>
        <a:sp3d/>
      </c:spPr>
    </c:backWall>
    <c:plotArea>
      <c:layout>
        <c:manualLayout>
          <c:layoutTarget val="inner"/>
          <c:xMode val="edge"/>
          <c:yMode val="edge"/>
          <c:x val="0.14218861683385464"/>
          <c:y val="2.0093965294929586E-4"/>
          <c:w val="0.85104321143530526"/>
          <c:h val="0.62837947805343963"/>
        </c:manualLayout>
      </c:layout>
      <c:bar3DChart>
        <c:barDir val="col"/>
        <c:grouping val="standard"/>
        <c:varyColors val="0"/>
        <c:ser>
          <c:idx val="0"/>
          <c:order val="0"/>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Pt>
            <c:idx val="0"/>
            <c:invertIfNegative val="0"/>
            <c:bubble3D val="0"/>
            <c:spPr>
              <a:solidFill>
                <a:schemeClr val="accent2"/>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1-333D-41F8-88C8-165A779B73A6}"/>
              </c:ext>
            </c:extLst>
          </c:dPt>
          <c:dPt>
            <c:idx val="1"/>
            <c:invertIfNegative val="0"/>
            <c:bubble3D val="0"/>
            <c:spPr>
              <a:solidFill>
                <a:schemeClr val="accent2">
                  <a:lumMod val="20000"/>
                  <a:lumOff val="80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2-333D-41F8-88C8-165A779B73A6}"/>
              </c:ext>
            </c:extLst>
          </c:dPt>
          <c:dPt>
            <c:idx val="2"/>
            <c:invertIfNegative val="0"/>
            <c:bubble3D val="0"/>
            <c:spPr>
              <a:solidFill>
                <a:schemeClr val="accent6">
                  <a:lumMod val="50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3-333D-41F8-88C8-165A779B73A6}"/>
              </c:ext>
            </c:extLst>
          </c:dPt>
          <c:dPt>
            <c:idx val="3"/>
            <c:invertIfNegative val="0"/>
            <c:bubble3D val="0"/>
            <c:spPr>
              <a:solidFill>
                <a:schemeClr val="accent4">
                  <a:lumMod val="20000"/>
                  <a:lumOff val="80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4-333D-41F8-88C8-165A779B73A6}"/>
              </c:ext>
            </c:extLst>
          </c:dPt>
          <c:dPt>
            <c:idx val="5"/>
            <c:invertIfNegative val="0"/>
            <c:bubble3D val="0"/>
            <c:spPr>
              <a:solidFill>
                <a:schemeClr val="accent5">
                  <a:lumMod val="40000"/>
                  <a:lumOff val="60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5-333D-41F8-88C8-165A779B73A6}"/>
              </c:ext>
            </c:extLst>
          </c:dPt>
          <c:dPt>
            <c:idx val="6"/>
            <c:invertIfNegative val="0"/>
            <c:bubble3D val="0"/>
            <c:spPr>
              <a:solidFill>
                <a:srgbClr val="C00000"/>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6-333D-41F8-88C8-165A779B73A6}"/>
              </c:ext>
            </c:extLst>
          </c:dPt>
          <c:dPt>
            <c:idx val="7"/>
            <c:invertIfNegative val="0"/>
            <c:bubble3D val="0"/>
            <c:spPr>
              <a:solidFill>
                <a:schemeClr val="bg2">
                  <a:lumMod val="65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7-333D-41F8-88C8-165A779B73A6}"/>
              </c:ext>
            </c:extLst>
          </c:dPt>
          <c:dPt>
            <c:idx val="8"/>
            <c:invertIfNegative val="0"/>
            <c:bubble3D val="0"/>
            <c:spPr>
              <a:solidFill>
                <a:srgbClr val="002060"/>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8-333D-41F8-88C8-165A779B73A6}"/>
              </c:ext>
            </c:extLst>
          </c:dPt>
          <c:dPt>
            <c:idx val="9"/>
            <c:invertIfNegative val="0"/>
            <c:bubble3D val="0"/>
            <c:spPr>
              <a:solidFill>
                <a:schemeClr val="accent2">
                  <a:lumMod val="60000"/>
                  <a:lumOff val="40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9-333D-41F8-88C8-165A779B73A6}"/>
              </c:ext>
            </c:extLst>
          </c:dPt>
          <c:dPt>
            <c:idx val="10"/>
            <c:invertIfNegative val="0"/>
            <c:bubble3D val="0"/>
            <c:spPr>
              <a:solidFill>
                <a:srgbClr val="92D050"/>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extLst>
              <c:ext xmlns:c16="http://schemas.microsoft.com/office/drawing/2014/chart" uri="{C3380CC4-5D6E-409C-BE32-E72D297353CC}">
                <c16:uniqueId val="{0000000A-333D-41F8-88C8-165A779B73A6}"/>
              </c:ext>
            </c:extLst>
          </c:dPt>
          <c:dLbls>
            <c:dLbl>
              <c:idx val="0"/>
              <c:layout>
                <c:manualLayout>
                  <c:x val="1.937984791855089E-2"/>
                  <c:y val="-2.2630831151428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3D-41F8-88C8-165A779B73A6}"/>
                </c:ext>
              </c:extLst>
            </c:dLbl>
            <c:dLbl>
              <c:idx val="1"/>
              <c:layout>
                <c:manualLayout>
                  <c:x val="1.6090892747995543E-2"/>
                  <c:y val="-9.313854049919542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3D-41F8-88C8-165A779B73A6}"/>
                </c:ext>
              </c:extLst>
            </c:dLbl>
            <c:dLbl>
              <c:idx val="2"/>
              <c:layout>
                <c:manualLayout>
                  <c:x val="1.2665343554109535E-2"/>
                  <c:y val="-2.8994168369908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3D-41F8-88C8-165A779B73A6}"/>
                </c:ext>
              </c:extLst>
            </c:dLbl>
            <c:dLbl>
              <c:idx val="3"/>
              <c:layout>
                <c:manualLayout>
                  <c:x val="7.3016495403697857E-3"/>
                  <c:y val="-2.95843943804789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3D-41F8-88C8-165A779B73A6}"/>
                </c:ext>
              </c:extLst>
            </c:dLbl>
            <c:dLbl>
              <c:idx val="4"/>
              <c:layout>
                <c:manualLayout>
                  <c:x val="5.7025132132456045E-3"/>
                  <c:y val="-1.597251233150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3D-41F8-88C8-165A779B73A6}"/>
                </c:ext>
              </c:extLst>
            </c:dLbl>
            <c:dLbl>
              <c:idx val="5"/>
              <c:layout>
                <c:manualLayout>
                  <c:x val="1.1627943767302992E-2"/>
                  <c:y val="-1.97441003406118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33D-41F8-88C8-165A779B73A6}"/>
                </c:ext>
              </c:extLst>
            </c:dLbl>
            <c:dLbl>
              <c:idx val="6"/>
              <c:layout>
                <c:manualLayout>
                  <c:x val="7.3059360730592937E-3"/>
                  <c:y val="-3.12907388720769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33D-41F8-88C8-165A779B73A6}"/>
                </c:ext>
              </c:extLst>
            </c:dLbl>
            <c:dLbl>
              <c:idx val="7"/>
              <c:layout>
                <c:manualLayout>
                  <c:x val="9.5773782248711244E-3"/>
                  <c:y val="-2.86990553646233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3D-41F8-88C8-165A779B73A6}"/>
                </c:ext>
              </c:extLst>
            </c:dLbl>
            <c:dLbl>
              <c:idx val="8"/>
              <c:layout>
                <c:manualLayout>
                  <c:x val="1.3115593427533753E-2"/>
                  <c:y val="-2.64027586222000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33D-41F8-88C8-165A779B73A6}"/>
                </c:ext>
              </c:extLst>
            </c:dLbl>
            <c:dLbl>
              <c:idx val="9"/>
              <c:layout>
                <c:manualLayout>
                  <c:x val="2.0644590659044199E-2"/>
                  <c:y val="-2.6402758622200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33D-41F8-88C8-165A779B73A6}"/>
                </c:ext>
              </c:extLst>
            </c:dLbl>
            <c:dLbl>
              <c:idx val="10"/>
              <c:layout>
                <c:manualLayout>
                  <c:x val="2.0754938818500983E-2"/>
                  <c:y val="-3.30611431440431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33D-41F8-88C8-165A779B73A6}"/>
                </c:ext>
              </c:extLst>
            </c:dLbl>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GRAFICO!$B$6:$B$16</c:f>
              <c:strCache>
                <c:ptCount val="11"/>
                <c:pt idx="0">
                  <c:v>Direccionamiento Estrategico </c:v>
                </c:pt>
                <c:pt idx="1">
                  <c:v>Atención al Cliente</c:v>
                </c:pt>
                <c:pt idx="2">
                  <c:v>Bienestar</c:v>
                </c:pt>
                <c:pt idx="3">
                  <c:v>Crédito y Cartera</c:v>
                </c:pt>
                <c:pt idx="4">
                  <c:v>Gestión Contractual</c:v>
                </c:pt>
                <c:pt idx="5">
                  <c:v>Gestión de la Información</c:v>
                </c:pt>
                <c:pt idx="6">
                  <c:v>Gestión de Recursos Físicos </c:v>
                </c:pt>
                <c:pt idx="7">
                  <c:v>Gestión del Talento Humano</c:v>
                </c:pt>
                <c:pt idx="8">
                  <c:v>Gestión Financiera</c:v>
                </c:pt>
                <c:pt idx="9">
                  <c:v>Gestión Jurídica</c:v>
                </c:pt>
                <c:pt idx="10">
                  <c:v>Gestion del mejoramiento </c:v>
                </c:pt>
              </c:strCache>
            </c:strRef>
          </c:cat>
          <c:val>
            <c:numRef>
              <c:f>GRAFICO!$C$6:$C$16</c:f>
              <c:numCache>
                <c:formatCode>0.00%</c:formatCode>
                <c:ptCount val="11"/>
                <c:pt idx="0">
                  <c:v>0.25</c:v>
                </c:pt>
                <c:pt idx="1">
                  <c:v>0.24318997201458456</c:v>
                </c:pt>
                <c:pt idx="2">
                  <c:v>0.11959940407217347</c:v>
                </c:pt>
                <c:pt idx="3">
                  <c:v>0.11887999283553496</c:v>
                </c:pt>
                <c:pt idx="4">
                  <c:v>0.13888888888888887</c:v>
                </c:pt>
                <c:pt idx="5">
                  <c:v>0.22000000000000003</c:v>
                </c:pt>
                <c:pt idx="6">
                  <c:v>0.16666666666666666</c:v>
                </c:pt>
                <c:pt idx="7">
                  <c:v>0.15886652906776746</c:v>
                </c:pt>
                <c:pt idx="8">
                  <c:v>0.17711536447714837</c:v>
                </c:pt>
                <c:pt idx="9">
                  <c:v>0.10366666666666667</c:v>
                </c:pt>
                <c:pt idx="10">
                  <c:v>9.1269841269841279E-2</c:v>
                </c:pt>
              </c:numCache>
            </c:numRef>
          </c:val>
          <c:extLst>
            <c:ext xmlns:c16="http://schemas.microsoft.com/office/drawing/2014/chart" uri="{C3380CC4-5D6E-409C-BE32-E72D297353CC}">
              <c16:uniqueId val="{00000000-333D-41F8-88C8-165A779B73A6}"/>
            </c:ext>
          </c:extLst>
        </c:ser>
        <c:dLbls>
          <c:showLegendKey val="0"/>
          <c:showVal val="1"/>
          <c:showCatName val="0"/>
          <c:showSerName val="0"/>
          <c:showPercent val="0"/>
          <c:showBubbleSize val="0"/>
        </c:dLbls>
        <c:gapWidth val="84"/>
        <c:gapDepth val="53"/>
        <c:shape val="box"/>
        <c:axId val="95314544"/>
        <c:axId val="95315104"/>
        <c:axId val="117375904"/>
      </c:bar3DChart>
      <c:catAx>
        <c:axId val="953145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s-419"/>
          </a:p>
        </c:txPr>
        <c:crossAx val="95315104"/>
        <c:crosses val="autoZero"/>
        <c:auto val="1"/>
        <c:lblAlgn val="ctr"/>
        <c:lblOffset val="100"/>
        <c:noMultiLvlLbl val="0"/>
      </c:catAx>
      <c:valAx>
        <c:axId val="95315104"/>
        <c:scaling>
          <c:orientation val="minMax"/>
        </c:scaling>
        <c:delete val="1"/>
        <c:axPos val="l"/>
        <c:numFmt formatCode="0.00%" sourceLinked="1"/>
        <c:majorTickMark val="out"/>
        <c:minorTickMark val="none"/>
        <c:tickLblPos val="nextTo"/>
        <c:crossAx val="95314544"/>
        <c:crosses val="autoZero"/>
        <c:crossBetween val="between"/>
      </c:valAx>
      <c:serAx>
        <c:axId val="117375904"/>
        <c:scaling>
          <c:orientation val="minMax"/>
        </c:scaling>
        <c:delete val="1"/>
        <c:axPos val="b"/>
        <c:majorTickMark val="none"/>
        <c:minorTickMark val="none"/>
        <c:tickLblPos val="nextTo"/>
        <c:crossAx val="95315104"/>
        <c:crosses val="autoZero"/>
      </c:serAx>
      <c:spPr>
        <a:solidFill>
          <a:schemeClr val="tx1"/>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tx1"/>
    </a:solidFill>
    <a:ln w="6350" cap="flat" cmpd="sng" algn="ctr">
      <a:solidFill>
        <a:schemeClr val="dk1">
          <a:tint val="7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120864</xdr:colOff>
      <xdr:row>1</xdr:row>
      <xdr:rowOff>208796</xdr:rowOff>
    </xdr:from>
    <xdr:to>
      <xdr:col>2</xdr:col>
      <xdr:colOff>932658</xdr:colOff>
      <xdr:row>3</xdr:row>
      <xdr:rowOff>265084</xdr:rowOff>
    </xdr:to>
    <xdr:pic>
      <xdr:nvPicPr>
        <xdr:cNvPr id="4" name="Imagen 3">
          <a:extLst>
            <a:ext uri="{FF2B5EF4-FFF2-40B4-BE49-F238E27FC236}">
              <a16:creationId xmlns:a16="http://schemas.microsoft.com/office/drawing/2014/main" id="{F114F999-0B47-4CE1-B947-A2C13843AC8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7729" t="5296" r="70842" b="86234"/>
        <a:stretch>
          <a:fillRect/>
        </a:stretch>
      </xdr:blipFill>
      <xdr:spPr bwMode="auto">
        <a:xfrm>
          <a:off x="1981040" y="399296"/>
          <a:ext cx="2851265" cy="1311347"/>
        </a:xfrm>
        <a:prstGeom prst="rect">
          <a:avLst/>
        </a:prstGeom>
        <a:noFill/>
        <a:ln>
          <a:noFill/>
        </a:ln>
      </xdr:spPr>
    </xdr:pic>
    <xdr:clientData/>
  </xdr:twoCellAnchor>
  <xdr:twoCellAnchor editAs="oneCell">
    <xdr:from>
      <xdr:col>2</xdr:col>
      <xdr:colOff>1088806</xdr:colOff>
      <xdr:row>1</xdr:row>
      <xdr:rowOff>200808</xdr:rowOff>
    </xdr:from>
    <xdr:to>
      <xdr:col>4</xdr:col>
      <xdr:colOff>1449743</xdr:colOff>
      <xdr:row>3</xdr:row>
      <xdr:rowOff>323134</xdr:rowOff>
    </xdr:to>
    <xdr:pic>
      <xdr:nvPicPr>
        <xdr:cNvPr id="2" name="Imagen 1">
          <a:extLst>
            <a:ext uri="{FF2B5EF4-FFF2-40B4-BE49-F238E27FC236}">
              <a16:creationId xmlns:a16="http://schemas.microsoft.com/office/drawing/2014/main" id="{0B0C6295-297E-41D0-AB22-614F94DAF2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88453" y="391308"/>
          <a:ext cx="3931612" cy="13773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147637</xdr:rowOff>
    </xdr:from>
    <xdr:to>
      <xdr:col>7</xdr:col>
      <xdr:colOff>180975</xdr:colOff>
      <xdr:row>36</xdr:row>
      <xdr:rowOff>180975</xdr:rowOff>
    </xdr:to>
    <xdr:graphicFrame macro="">
      <xdr:nvGraphicFramePr>
        <xdr:cNvPr id="2" name="Gráfico 1">
          <a:extLst>
            <a:ext uri="{FF2B5EF4-FFF2-40B4-BE49-F238E27FC236}">
              <a16:creationId xmlns:a16="http://schemas.microsoft.com/office/drawing/2014/main" id="{5471C5B2-5705-4BE8-99D8-0D8EA7AA5D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S71"/>
  <sheetViews>
    <sheetView showGridLines="0" tabSelected="1" topLeftCell="AI60" zoomScale="70" zoomScaleNormal="70" zoomScalePageLayoutView="55" workbookViewId="0">
      <selection activeCell="AK64" sqref="AK64"/>
    </sheetView>
  </sheetViews>
  <sheetFormatPr baseColWidth="10" defaultColWidth="0" defaultRowHeight="0" customHeight="1" zeroHeight="1" x14ac:dyDescent="0.25"/>
  <cols>
    <col min="1" max="1" width="10" style="80" customWidth="1"/>
    <col min="2" max="2" width="30.42578125" style="1" customWidth="1"/>
    <col min="3" max="3" width="30.85546875" style="1" customWidth="1"/>
    <col min="4" max="4" width="22.7109375" style="1" customWidth="1"/>
    <col min="5" max="5" width="23.85546875" style="1" customWidth="1"/>
    <col min="6" max="6" width="24.7109375" style="1" customWidth="1"/>
    <col min="7" max="7" width="36.28515625" style="1" customWidth="1"/>
    <col min="8" max="8" width="26.85546875" style="53" customWidth="1"/>
    <col min="9" max="9" width="27.28515625" style="1" customWidth="1"/>
    <col min="10" max="10" width="31.42578125" style="1" customWidth="1"/>
    <col min="11" max="11" width="15.42578125" style="1" customWidth="1"/>
    <col min="12" max="12" width="15.140625" style="1" customWidth="1"/>
    <col min="13" max="13" width="15.85546875" style="1" customWidth="1"/>
    <col min="14" max="14" width="21.42578125" style="1" customWidth="1"/>
    <col min="15" max="15" width="15.7109375" style="1" customWidth="1"/>
    <col min="16" max="16" width="18" style="1" customWidth="1"/>
    <col min="17" max="17" width="11.42578125" style="1" customWidth="1"/>
    <col min="18" max="18" width="20.42578125" style="1" customWidth="1"/>
    <col min="19" max="19" width="22.7109375" style="1" customWidth="1"/>
    <col min="20" max="20" width="14.7109375" style="1" bestFit="1" customWidth="1"/>
    <col min="21" max="21" width="13.7109375" style="1" bestFit="1" customWidth="1"/>
    <col min="22" max="31" width="10.7109375" style="1" customWidth="1"/>
    <col min="32" max="32" width="22.85546875" style="20" customWidth="1"/>
    <col min="33" max="33" width="21.42578125" style="20" customWidth="1"/>
    <col min="34" max="34" width="18.28515625" style="1" customWidth="1"/>
    <col min="35" max="35" width="18.85546875" style="1" customWidth="1"/>
    <col min="36" max="36" width="92.42578125" style="1" customWidth="1"/>
    <col min="37" max="37" width="53" style="1" customWidth="1"/>
    <col min="38" max="38" width="51.42578125" style="58" customWidth="1"/>
    <col min="39" max="39" width="47.42578125" style="58" customWidth="1"/>
    <col min="40" max="40" width="50" style="58" customWidth="1"/>
    <col min="41" max="41" width="52.140625" style="58" customWidth="1"/>
    <col min="42" max="42" width="53.28515625" style="58" customWidth="1"/>
    <col min="43" max="43" width="61.85546875" style="2" customWidth="1"/>
    <col min="44" max="44" width="6.85546875" style="1" customWidth="1"/>
    <col min="45" max="45" width="0" style="1" hidden="1" customWidth="1"/>
    <col min="46" max="16384" width="14.42578125" style="1" hidden="1"/>
  </cols>
  <sheetData>
    <row r="1" spans="1:44" s="4" customFormat="1" ht="15" customHeight="1" thickBot="1" x14ac:dyDescent="0.3">
      <c r="A1" s="79"/>
      <c r="H1" s="51"/>
      <c r="AF1" s="17"/>
      <c r="AG1" s="17"/>
      <c r="AL1" s="57"/>
      <c r="AM1" s="57"/>
      <c r="AN1" s="57"/>
      <c r="AO1" s="57"/>
      <c r="AP1" s="57"/>
      <c r="AQ1" s="16"/>
    </row>
    <row r="2" spans="1:44" s="4" customFormat="1" ht="49.5" customHeight="1" thickBot="1" x14ac:dyDescent="0.25">
      <c r="A2" s="184"/>
      <c r="B2" s="204"/>
      <c r="C2" s="205"/>
      <c r="D2" s="205"/>
      <c r="E2" s="206"/>
      <c r="F2" s="216" t="s">
        <v>201</v>
      </c>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8"/>
      <c r="AQ2" s="14" t="s">
        <v>200</v>
      </c>
    </row>
    <row r="3" spans="1:44" s="4" customFormat="1" ht="49.5" customHeight="1" thickBot="1" x14ac:dyDescent="0.25">
      <c r="A3" s="185"/>
      <c r="B3" s="207"/>
      <c r="C3" s="208"/>
      <c r="D3" s="208"/>
      <c r="E3" s="209"/>
      <c r="F3" s="219"/>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1"/>
      <c r="AQ3" s="14" t="s">
        <v>199</v>
      </c>
    </row>
    <row r="4" spans="1:44" s="3" customFormat="1" ht="49.5" customHeight="1" thickBot="1" x14ac:dyDescent="0.25">
      <c r="A4" s="185"/>
      <c r="B4" s="210"/>
      <c r="C4" s="211"/>
      <c r="D4" s="211"/>
      <c r="E4" s="212"/>
      <c r="F4" s="222" t="s">
        <v>202</v>
      </c>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4"/>
      <c r="AQ4" s="14" t="s">
        <v>222</v>
      </c>
    </row>
    <row r="5" spans="1:44" s="3" customFormat="1" ht="12" customHeight="1" thickBot="1" x14ac:dyDescent="0.25">
      <c r="A5" s="185"/>
      <c r="B5" s="5"/>
      <c r="C5" s="5"/>
      <c r="D5" s="5"/>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7"/>
    </row>
    <row r="6" spans="1:44" s="3" customFormat="1" ht="30.75" customHeight="1" thickBot="1" x14ac:dyDescent="0.25">
      <c r="A6" s="185"/>
      <c r="B6" s="75" t="s">
        <v>203</v>
      </c>
      <c r="C6" s="77">
        <v>2024</v>
      </c>
      <c r="D6" s="201" t="s">
        <v>204</v>
      </c>
      <c r="E6" s="202"/>
      <c r="F6" s="202"/>
      <c r="G6" s="202"/>
      <c r="H6" s="202"/>
      <c r="I6" s="202"/>
      <c r="J6" s="202"/>
      <c r="K6" s="202"/>
      <c r="L6" s="202"/>
      <c r="M6" s="202"/>
      <c r="N6" s="202"/>
      <c r="O6" s="202"/>
      <c r="P6" s="203"/>
      <c r="Q6" s="10"/>
      <c r="R6" s="159" t="s">
        <v>0</v>
      </c>
      <c r="S6" s="160"/>
      <c r="T6" s="160"/>
      <c r="U6" s="160"/>
      <c r="V6" s="160"/>
      <c r="W6" s="160"/>
      <c r="X6" s="160"/>
      <c r="Y6" s="160"/>
      <c r="Z6" s="160"/>
      <c r="AA6" s="160"/>
      <c r="AB6" s="160"/>
      <c r="AC6" s="160"/>
      <c r="AD6" s="160"/>
      <c r="AE6" s="160"/>
      <c r="AF6" s="160"/>
      <c r="AG6" s="160"/>
      <c r="AH6" s="160"/>
      <c r="AI6" s="161"/>
      <c r="AJ6" s="153" t="s">
        <v>206</v>
      </c>
      <c r="AK6" s="154"/>
      <c r="AL6" s="154"/>
      <c r="AM6" s="154"/>
      <c r="AN6" s="154"/>
      <c r="AO6" s="154"/>
      <c r="AP6" s="154"/>
      <c r="AQ6" s="155"/>
    </row>
    <row r="7" spans="1:44" s="3" customFormat="1" ht="30.75" customHeight="1" thickBot="1" x14ac:dyDescent="0.25">
      <c r="A7" s="185"/>
      <c r="B7" s="76" t="s">
        <v>213</v>
      </c>
      <c r="C7" s="77" t="s">
        <v>312</v>
      </c>
      <c r="D7" s="186" t="s">
        <v>313</v>
      </c>
      <c r="E7" s="187"/>
      <c r="F7" s="187"/>
      <c r="G7" s="187"/>
      <c r="H7" s="187"/>
      <c r="I7" s="187"/>
      <c r="J7" s="187"/>
      <c r="K7" s="187"/>
      <c r="L7" s="187"/>
      <c r="M7" s="187"/>
      <c r="N7" s="187"/>
      <c r="O7" s="187"/>
      <c r="P7" s="188"/>
      <c r="Q7" s="10"/>
      <c r="R7" s="189" t="s">
        <v>205</v>
      </c>
      <c r="S7" s="190"/>
      <c r="T7" s="190"/>
      <c r="U7" s="190"/>
      <c r="V7" s="190"/>
      <c r="W7" s="190"/>
      <c r="X7" s="190"/>
      <c r="Y7" s="190"/>
      <c r="Z7" s="190"/>
      <c r="AA7" s="190"/>
      <c r="AB7" s="190"/>
      <c r="AC7" s="190"/>
      <c r="AD7" s="190"/>
      <c r="AE7" s="190"/>
      <c r="AF7" s="190"/>
      <c r="AG7" s="190"/>
      <c r="AH7" s="190"/>
      <c r="AI7" s="191"/>
      <c r="AJ7" s="156" t="s">
        <v>306</v>
      </c>
      <c r="AK7" s="157"/>
      <c r="AL7" s="157"/>
      <c r="AM7" s="157"/>
      <c r="AN7" s="157"/>
      <c r="AO7" s="157"/>
      <c r="AP7" s="157"/>
      <c r="AQ7" s="158"/>
    </row>
    <row r="8" spans="1:44" s="3" customFormat="1" ht="15" customHeight="1" thickBot="1" x14ac:dyDescent="0.3">
      <c r="A8" s="79"/>
      <c r="B8" s="8"/>
      <c r="C8" s="9"/>
      <c r="D8" s="9"/>
      <c r="E8" s="9"/>
      <c r="F8" s="9"/>
      <c r="G8" s="9"/>
      <c r="H8" s="52"/>
      <c r="I8" s="9"/>
      <c r="J8" s="9"/>
      <c r="K8" s="9"/>
      <c r="L8" s="9"/>
      <c r="M8" s="9"/>
      <c r="N8" s="9"/>
      <c r="O8" s="9"/>
      <c r="P8" s="9"/>
      <c r="Q8" s="9"/>
      <c r="R8" s="9"/>
      <c r="S8" s="9"/>
      <c r="T8" s="9"/>
      <c r="U8" s="9"/>
      <c r="V8" s="9"/>
      <c r="W8" s="9"/>
      <c r="X8" s="9"/>
      <c r="Y8" s="9"/>
      <c r="Z8" s="9"/>
      <c r="AA8" s="9"/>
      <c r="AB8" s="9"/>
      <c r="AC8" s="9"/>
      <c r="AD8" s="9"/>
      <c r="AE8" s="9"/>
      <c r="AF8" s="18"/>
      <c r="AG8" s="18"/>
      <c r="AH8" s="9"/>
      <c r="AI8" s="9"/>
      <c r="AJ8" s="11"/>
      <c r="AK8" s="11"/>
      <c r="AL8" s="11"/>
      <c r="AM8" s="11"/>
      <c r="AN8" s="11"/>
      <c r="AO8" s="11"/>
      <c r="AP8" s="11"/>
      <c r="AQ8" s="11"/>
    </row>
    <row r="9" spans="1:44" s="3" customFormat="1" ht="25.5" customHeight="1" thickBot="1" x14ac:dyDescent="0.25">
      <c r="A9" s="213"/>
      <c r="B9" s="213"/>
      <c r="C9" s="213"/>
      <c r="D9" s="213"/>
      <c r="E9" s="213"/>
      <c r="F9" s="213"/>
      <c r="G9" s="214"/>
      <c r="H9" s="192" t="s">
        <v>6</v>
      </c>
      <c r="I9" s="193"/>
      <c r="J9" s="193"/>
      <c r="K9" s="193"/>
      <c r="L9" s="193"/>
      <c r="M9" s="193"/>
      <c r="N9" s="194"/>
      <c r="O9" s="215"/>
      <c r="P9" s="214"/>
      <c r="Q9" s="192" t="s">
        <v>8</v>
      </c>
      <c r="R9" s="193"/>
      <c r="S9" s="194"/>
      <c r="T9" s="195" t="s">
        <v>9</v>
      </c>
      <c r="U9" s="196"/>
      <c r="V9" s="197"/>
      <c r="W9" s="195" t="s">
        <v>10</v>
      </c>
      <c r="X9" s="196"/>
      <c r="Y9" s="197"/>
      <c r="Z9" s="195" t="s">
        <v>11</v>
      </c>
      <c r="AA9" s="196"/>
      <c r="AB9" s="197"/>
      <c r="AC9" s="198" t="s">
        <v>12</v>
      </c>
      <c r="AD9" s="199"/>
      <c r="AE9" s="200"/>
      <c r="AF9" s="215"/>
      <c r="AG9" s="213"/>
      <c r="AH9" s="213"/>
      <c r="AI9" s="213"/>
      <c r="AJ9" s="213"/>
      <c r="AK9" s="213"/>
      <c r="AL9" s="213"/>
      <c r="AM9" s="213"/>
      <c r="AN9" s="213"/>
      <c r="AO9" s="213"/>
      <c r="AP9" s="213"/>
      <c r="AQ9" s="214"/>
    </row>
    <row r="10" spans="1:44" s="4" customFormat="1" ht="80.25" customHeight="1" thickBot="1" x14ac:dyDescent="0.25">
      <c r="A10" s="137" t="s">
        <v>431</v>
      </c>
      <c r="B10" s="137" t="s">
        <v>1</v>
      </c>
      <c r="C10" s="138" t="s">
        <v>2</v>
      </c>
      <c r="D10" s="138" t="s">
        <v>215</v>
      </c>
      <c r="E10" s="138" t="s">
        <v>3</v>
      </c>
      <c r="F10" s="138" t="s">
        <v>4</v>
      </c>
      <c r="G10" s="131" t="s">
        <v>5</v>
      </c>
      <c r="H10" s="12" t="s">
        <v>17</v>
      </c>
      <c r="I10" s="12" t="s">
        <v>18</v>
      </c>
      <c r="J10" s="12" t="s">
        <v>19</v>
      </c>
      <c r="K10" s="12" t="s">
        <v>20</v>
      </c>
      <c r="L10" s="12" t="s">
        <v>21</v>
      </c>
      <c r="M10" s="12" t="s">
        <v>22</v>
      </c>
      <c r="N10" s="12" t="s">
        <v>23</v>
      </c>
      <c r="O10" s="137" t="s">
        <v>216</v>
      </c>
      <c r="P10" s="136" t="s">
        <v>7</v>
      </c>
      <c r="Q10" s="12" t="s">
        <v>24</v>
      </c>
      <c r="R10" s="12" t="s">
        <v>25</v>
      </c>
      <c r="S10" s="12" t="s">
        <v>26</v>
      </c>
      <c r="T10" s="54" t="s">
        <v>27</v>
      </c>
      <c r="U10" s="54" t="s">
        <v>28</v>
      </c>
      <c r="V10" s="54" t="s">
        <v>467</v>
      </c>
      <c r="W10" s="13" t="s">
        <v>27</v>
      </c>
      <c r="X10" s="13" t="s">
        <v>28</v>
      </c>
      <c r="Y10" s="13" t="s">
        <v>468</v>
      </c>
      <c r="Z10" s="54" t="s">
        <v>27</v>
      </c>
      <c r="AA10" s="54" t="s">
        <v>28</v>
      </c>
      <c r="AB10" s="71" t="s">
        <v>469</v>
      </c>
      <c r="AC10" s="13" t="s">
        <v>27</v>
      </c>
      <c r="AD10" s="13" t="s">
        <v>28</v>
      </c>
      <c r="AE10" s="13" t="s">
        <v>470</v>
      </c>
      <c r="AF10" s="130" t="s">
        <v>13</v>
      </c>
      <c r="AG10" s="139" t="s">
        <v>14</v>
      </c>
      <c r="AH10" s="138" t="s">
        <v>15</v>
      </c>
      <c r="AI10" s="136" t="s">
        <v>16</v>
      </c>
      <c r="AJ10" s="149" t="s">
        <v>471</v>
      </c>
      <c r="AK10" s="150" t="s">
        <v>472</v>
      </c>
      <c r="AL10" s="129" t="s">
        <v>526</v>
      </c>
      <c r="AM10" s="129" t="s">
        <v>525</v>
      </c>
      <c r="AN10" s="129" t="s">
        <v>527</v>
      </c>
      <c r="AO10" s="129" t="s">
        <v>529</v>
      </c>
      <c r="AP10" s="128" t="s">
        <v>528</v>
      </c>
      <c r="AQ10" s="128" t="s">
        <v>530</v>
      </c>
    </row>
    <row r="11" spans="1:44" s="72" customFormat="1" ht="112.5" customHeight="1" thickBot="1" x14ac:dyDescent="0.25">
      <c r="A11" s="108">
        <v>1</v>
      </c>
      <c r="B11" s="74" t="s">
        <v>314</v>
      </c>
      <c r="C11" s="74" t="s">
        <v>80</v>
      </c>
      <c r="D11" s="82" t="s">
        <v>209</v>
      </c>
      <c r="E11" s="74" t="s">
        <v>208</v>
      </c>
      <c r="F11" s="74" t="s">
        <v>207</v>
      </c>
      <c r="G11" s="74" t="s">
        <v>210</v>
      </c>
      <c r="H11" s="74" t="s">
        <v>184</v>
      </c>
      <c r="I11" s="74" t="s">
        <v>185</v>
      </c>
      <c r="J11" s="74" t="s">
        <v>277</v>
      </c>
      <c r="K11" s="74" t="s">
        <v>31</v>
      </c>
      <c r="L11" s="74" t="s">
        <v>32</v>
      </c>
      <c r="M11" s="83">
        <v>89</v>
      </c>
      <c r="N11" s="74" t="s">
        <v>304</v>
      </c>
      <c r="O11" s="84" t="s">
        <v>315</v>
      </c>
      <c r="P11" s="84">
        <v>1</v>
      </c>
      <c r="Q11" s="74" t="s">
        <v>125</v>
      </c>
      <c r="R11" s="85">
        <v>45292</v>
      </c>
      <c r="S11" s="85">
        <v>45657</v>
      </c>
      <c r="T11" s="86"/>
      <c r="U11" s="86"/>
      <c r="V11" s="87" t="s">
        <v>33</v>
      </c>
      <c r="W11" s="88"/>
      <c r="X11" s="89"/>
      <c r="Y11" s="87" t="s">
        <v>33</v>
      </c>
      <c r="Z11" s="90"/>
      <c r="AA11" s="89">
        <v>90</v>
      </c>
      <c r="AB11" s="88"/>
      <c r="AC11" s="91"/>
      <c r="AD11" s="92"/>
      <c r="AE11" s="88" t="s">
        <v>33</v>
      </c>
      <c r="AF11" s="94">
        <f>+(AB11)/90</f>
        <v>0</v>
      </c>
      <c r="AG11" s="178">
        <f>+(AF11+AF12+AF13+AF14)/4</f>
        <v>0.1875</v>
      </c>
      <c r="AH11" s="95" t="s">
        <v>191</v>
      </c>
      <c r="AI11" s="95" t="s">
        <v>192</v>
      </c>
      <c r="AJ11" s="148" t="s">
        <v>567</v>
      </c>
      <c r="AK11" s="151" t="s">
        <v>33</v>
      </c>
      <c r="AL11" s="96"/>
      <c r="AM11" s="236"/>
      <c r="AN11" s="96"/>
      <c r="AO11" s="96"/>
      <c r="AP11" s="96"/>
      <c r="AQ11" s="96"/>
      <c r="AR11" s="15"/>
    </row>
    <row r="12" spans="1:44" s="72" customFormat="1" ht="121.5" customHeight="1" thickBot="1" x14ac:dyDescent="0.25">
      <c r="A12" s="108">
        <v>2</v>
      </c>
      <c r="B12" s="102" t="s">
        <v>314</v>
      </c>
      <c r="C12" s="74" t="s">
        <v>80</v>
      </c>
      <c r="D12" s="82" t="s">
        <v>209</v>
      </c>
      <c r="E12" s="74" t="s">
        <v>208</v>
      </c>
      <c r="F12" s="74" t="s">
        <v>207</v>
      </c>
      <c r="G12" s="74" t="s">
        <v>211</v>
      </c>
      <c r="H12" s="74" t="s">
        <v>212</v>
      </c>
      <c r="I12" s="74" t="s">
        <v>229</v>
      </c>
      <c r="J12" s="74" t="s">
        <v>316</v>
      </c>
      <c r="K12" s="74" t="s">
        <v>41</v>
      </c>
      <c r="L12" s="74" t="s">
        <v>32</v>
      </c>
      <c r="M12" s="101">
        <v>2</v>
      </c>
      <c r="N12" s="74" t="s">
        <v>278</v>
      </c>
      <c r="O12" s="103">
        <v>4</v>
      </c>
      <c r="P12" s="84">
        <v>0.25</v>
      </c>
      <c r="Q12" s="74" t="s">
        <v>138</v>
      </c>
      <c r="R12" s="85">
        <v>45292</v>
      </c>
      <c r="S12" s="85">
        <v>45657</v>
      </c>
      <c r="T12" s="100">
        <v>1</v>
      </c>
      <c r="U12" s="86">
        <v>1</v>
      </c>
      <c r="V12" s="87">
        <f>+(T12/U12)*$P$12</f>
        <v>0.25</v>
      </c>
      <c r="W12" s="99"/>
      <c r="X12" s="86">
        <v>1</v>
      </c>
      <c r="Y12" s="87">
        <f>+(W12/X12)*$P$12</f>
        <v>0</v>
      </c>
      <c r="Z12" s="90"/>
      <c r="AA12" s="86">
        <v>1</v>
      </c>
      <c r="AB12" s="87">
        <f>+(Z12/AA12)*$P$12</f>
        <v>0</v>
      </c>
      <c r="AC12" s="98"/>
      <c r="AD12" s="86">
        <v>1</v>
      </c>
      <c r="AE12" s="87">
        <f>+(AC12/AD12)*$P$12</f>
        <v>0</v>
      </c>
      <c r="AF12" s="93">
        <f t="shared" ref="AF12:AF17" si="0">+V12+Y12+AB12+AE12</f>
        <v>0.25</v>
      </c>
      <c r="AG12" s="179"/>
      <c r="AH12" s="95" t="s">
        <v>191</v>
      </c>
      <c r="AI12" s="97" t="s">
        <v>192</v>
      </c>
      <c r="AJ12" s="96" t="s">
        <v>568</v>
      </c>
      <c r="AK12" s="151" t="s">
        <v>33</v>
      </c>
      <c r="AL12" s="96"/>
      <c r="AM12" s="96"/>
      <c r="AN12" s="96"/>
      <c r="AO12" s="96"/>
      <c r="AP12" s="96"/>
      <c r="AQ12" s="96"/>
      <c r="AR12" s="15"/>
    </row>
    <row r="13" spans="1:44" s="72" customFormat="1" ht="67.5" customHeight="1" thickBot="1" x14ac:dyDescent="0.25">
      <c r="A13" s="108">
        <v>3</v>
      </c>
      <c r="B13" s="74" t="s">
        <v>233</v>
      </c>
      <c r="C13" s="107" t="s">
        <v>80</v>
      </c>
      <c r="D13" s="82" t="s">
        <v>209</v>
      </c>
      <c r="E13" s="74" t="s">
        <v>208</v>
      </c>
      <c r="F13" s="74" t="s">
        <v>207</v>
      </c>
      <c r="G13" s="74" t="s">
        <v>214</v>
      </c>
      <c r="H13" s="74" t="s">
        <v>317</v>
      </c>
      <c r="I13" s="74" t="s">
        <v>231</v>
      </c>
      <c r="J13" s="74" t="s">
        <v>305</v>
      </c>
      <c r="K13" s="74" t="s">
        <v>41</v>
      </c>
      <c r="L13" s="74" t="s">
        <v>73</v>
      </c>
      <c r="M13" s="74">
        <v>4</v>
      </c>
      <c r="N13" s="74" t="s">
        <v>278</v>
      </c>
      <c r="O13" s="83">
        <v>4</v>
      </c>
      <c r="P13" s="84">
        <v>0.25</v>
      </c>
      <c r="Q13" s="74" t="s">
        <v>34</v>
      </c>
      <c r="R13" s="85">
        <v>45292</v>
      </c>
      <c r="S13" s="85">
        <v>45657</v>
      </c>
      <c r="T13" s="104">
        <v>1</v>
      </c>
      <c r="U13" s="86">
        <v>1</v>
      </c>
      <c r="V13" s="87">
        <f>+(T13/U13)*$P$13</f>
        <v>0.25</v>
      </c>
      <c r="W13" s="104"/>
      <c r="X13" s="86">
        <v>1</v>
      </c>
      <c r="Y13" s="87">
        <f>+(W13/X13)*$P$13</f>
        <v>0</v>
      </c>
      <c r="Z13" s="105"/>
      <c r="AA13" s="86">
        <v>1</v>
      </c>
      <c r="AB13" s="87">
        <f>+(Z13/AA13)*$P$13</f>
        <v>0</v>
      </c>
      <c r="AC13" s="98"/>
      <c r="AD13" s="86">
        <v>1</v>
      </c>
      <c r="AE13" s="87">
        <f>+(AC13/AD13)*$P$13</f>
        <v>0</v>
      </c>
      <c r="AF13" s="93">
        <f t="shared" si="0"/>
        <v>0.25</v>
      </c>
      <c r="AG13" s="179"/>
      <c r="AH13" s="95" t="s">
        <v>191</v>
      </c>
      <c r="AI13" s="97" t="s">
        <v>192</v>
      </c>
      <c r="AJ13" s="106" t="s">
        <v>569</v>
      </c>
      <c r="AK13" s="151" t="s">
        <v>33</v>
      </c>
      <c r="AL13" s="96"/>
      <c r="AM13" s="96"/>
      <c r="AN13" s="96"/>
      <c r="AO13" s="96"/>
      <c r="AP13" s="96"/>
      <c r="AQ13" s="96"/>
      <c r="AR13" s="15"/>
    </row>
    <row r="14" spans="1:44" s="72" customFormat="1" ht="86.25" customHeight="1" thickBot="1" x14ac:dyDescent="0.25">
      <c r="A14" s="108">
        <v>4</v>
      </c>
      <c r="B14" s="74" t="s">
        <v>233</v>
      </c>
      <c r="C14" s="74" t="s">
        <v>80</v>
      </c>
      <c r="D14" s="82" t="s">
        <v>209</v>
      </c>
      <c r="E14" s="74" t="s">
        <v>208</v>
      </c>
      <c r="F14" s="74" t="s">
        <v>207</v>
      </c>
      <c r="G14" s="74" t="s">
        <v>418</v>
      </c>
      <c r="H14" s="74" t="s">
        <v>196</v>
      </c>
      <c r="I14" s="74" t="s">
        <v>230</v>
      </c>
      <c r="J14" s="74" t="s">
        <v>279</v>
      </c>
      <c r="K14" s="74" t="s">
        <v>41</v>
      </c>
      <c r="L14" s="74" t="s">
        <v>73</v>
      </c>
      <c r="M14" s="74">
        <v>3</v>
      </c>
      <c r="N14" s="74" t="s">
        <v>278</v>
      </c>
      <c r="O14" s="83">
        <v>4</v>
      </c>
      <c r="P14" s="84">
        <v>0.25</v>
      </c>
      <c r="Q14" s="74" t="s">
        <v>34</v>
      </c>
      <c r="R14" s="85">
        <v>45292</v>
      </c>
      <c r="S14" s="85">
        <v>45657</v>
      </c>
      <c r="T14" s="104">
        <v>1</v>
      </c>
      <c r="U14" s="86">
        <v>1</v>
      </c>
      <c r="V14" s="87">
        <f>+(T14/U14)*$P$14</f>
        <v>0.25</v>
      </c>
      <c r="W14" s="99"/>
      <c r="X14" s="86">
        <v>1</v>
      </c>
      <c r="Y14" s="87">
        <f>+(W14/X14)*$P$14</f>
        <v>0</v>
      </c>
      <c r="Z14" s="105"/>
      <c r="AA14" s="86">
        <v>1</v>
      </c>
      <c r="AB14" s="87">
        <f>+(Z14/AA14)*$P$14</f>
        <v>0</v>
      </c>
      <c r="AC14" s="98"/>
      <c r="AD14" s="86">
        <v>1</v>
      </c>
      <c r="AE14" s="87">
        <f>+(AC14/AD14)*$P$14</f>
        <v>0</v>
      </c>
      <c r="AF14" s="93">
        <f t="shared" si="0"/>
        <v>0.25</v>
      </c>
      <c r="AG14" s="180"/>
      <c r="AH14" s="95" t="s">
        <v>191</v>
      </c>
      <c r="AI14" s="97" t="s">
        <v>192</v>
      </c>
      <c r="AJ14" s="96" t="s">
        <v>570</v>
      </c>
      <c r="AK14" s="151" t="s">
        <v>33</v>
      </c>
      <c r="AL14" s="96"/>
      <c r="AM14" s="96"/>
      <c r="AN14" s="96"/>
      <c r="AO14" s="96"/>
      <c r="AP14" s="96"/>
      <c r="AQ14" s="96"/>
      <c r="AR14" s="15"/>
    </row>
    <row r="15" spans="1:44" s="15" customFormat="1" ht="149.25" customHeight="1" thickBot="1" x14ac:dyDescent="0.25">
      <c r="A15" s="108">
        <v>5</v>
      </c>
      <c r="B15" s="74" t="s">
        <v>218</v>
      </c>
      <c r="C15" s="74" t="s">
        <v>29</v>
      </c>
      <c r="D15" s="82" t="s">
        <v>219</v>
      </c>
      <c r="E15" s="74" t="s">
        <v>318</v>
      </c>
      <c r="F15" s="74" t="s">
        <v>37</v>
      </c>
      <c r="G15" s="74" t="s">
        <v>30</v>
      </c>
      <c r="H15" s="74" t="s">
        <v>221</v>
      </c>
      <c r="I15" s="74" t="s">
        <v>420</v>
      </c>
      <c r="J15" s="74" t="s">
        <v>419</v>
      </c>
      <c r="K15" s="74" t="s">
        <v>31</v>
      </c>
      <c r="L15" s="74" t="s">
        <v>32</v>
      </c>
      <c r="M15" s="122">
        <v>0.92</v>
      </c>
      <c r="N15" s="74" t="s">
        <v>286</v>
      </c>
      <c r="O15" s="122">
        <v>0.95</v>
      </c>
      <c r="P15" s="84">
        <v>0.25</v>
      </c>
      <c r="Q15" s="74" t="s">
        <v>34</v>
      </c>
      <c r="R15" s="85">
        <v>45292</v>
      </c>
      <c r="S15" s="85">
        <v>45657</v>
      </c>
      <c r="T15" s="114">
        <f>13/15</f>
        <v>0.8666666666666667</v>
      </c>
      <c r="U15" s="114">
        <f>+$O$15</f>
        <v>0.95</v>
      </c>
      <c r="V15" s="87">
        <f>IF(((T15*0.25)/U15)&gt;0.25,0.25,(T15*0.25)/U15)</f>
        <v>0.22807017543859651</v>
      </c>
      <c r="W15" s="123"/>
      <c r="X15" s="114">
        <f>+$O$15</f>
        <v>0.95</v>
      </c>
      <c r="Y15" s="87">
        <f>IF(((W15*0.25)/X15)&gt;0.25,0.25,(W15*0.25)/X15)</f>
        <v>0</v>
      </c>
      <c r="Z15" s="124"/>
      <c r="AA15" s="114">
        <f>+$O$15</f>
        <v>0.95</v>
      </c>
      <c r="AB15" s="87">
        <f>IF(((Z15*0.25)/AA15)&gt;0.25,0.25,(Z15*0.25)/AA15)</f>
        <v>0</v>
      </c>
      <c r="AC15" s="125"/>
      <c r="AD15" s="114">
        <f>+$O$15</f>
        <v>0.95</v>
      </c>
      <c r="AE15" s="87">
        <f>IF(((AC15*0.25)/AD15)&gt;0.25,0.25,(AC15*0.25)/AD15)</f>
        <v>0</v>
      </c>
      <c r="AF15" s="93">
        <f t="shared" si="0"/>
        <v>0.22807017543859651</v>
      </c>
      <c r="AG15" s="162">
        <f>+(AF15+AF16+AF17+AF18)/4</f>
        <v>0.24318997201458456</v>
      </c>
      <c r="AH15" s="95" t="s">
        <v>35</v>
      </c>
      <c r="AI15" s="97" t="s">
        <v>36</v>
      </c>
      <c r="AJ15" s="68" t="s">
        <v>579</v>
      </c>
      <c r="AK15" s="152"/>
      <c r="AL15" s="96"/>
      <c r="AM15" s="96"/>
      <c r="AN15" s="96"/>
      <c r="AO15" s="96"/>
      <c r="AP15" s="96"/>
      <c r="AQ15" s="96"/>
    </row>
    <row r="16" spans="1:44" s="15" customFormat="1" ht="409.6" thickBot="1" x14ac:dyDescent="0.25">
      <c r="A16" s="108">
        <v>6</v>
      </c>
      <c r="B16" s="74" t="s">
        <v>218</v>
      </c>
      <c r="C16" s="74" t="s">
        <v>29</v>
      </c>
      <c r="D16" s="82" t="s">
        <v>219</v>
      </c>
      <c r="E16" s="74" t="s">
        <v>220</v>
      </c>
      <c r="F16" s="74" t="s">
        <v>37</v>
      </c>
      <c r="G16" s="74" t="s">
        <v>263</v>
      </c>
      <c r="H16" s="74" t="s">
        <v>411</v>
      </c>
      <c r="I16" s="74" t="s">
        <v>262</v>
      </c>
      <c r="J16" s="74" t="s">
        <v>421</v>
      </c>
      <c r="K16" s="74" t="s">
        <v>31</v>
      </c>
      <c r="L16" s="74" t="s">
        <v>38</v>
      </c>
      <c r="M16" s="122">
        <v>0.95</v>
      </c>
      <c r="N16" s="74" t="s">
        <v>286</v>
      </c>
      <c r="O16" s="122">
        <v>0.98</v>
      </c>
      <c r="P16" s="84">
        <v>0.25</v>
      </c>
      <c r="Q16" s="74" t="s">
        <v>34</v>
      </c>
      <c r="R16" s="85">
        <v>45292</v>
      </c>
      <c r="S16" s="85">
        <v>45657</v>
      </c>
      <c r="T16" s="114">
        <f>47/49</f>
        <v>0.95918367346938771</v>
      </c>
      <c r="U16" s="114">
        <f>+$O$16</f>
        <v>0.98</v>
      </c>
      <c r="V16" s="87">
        <f>IF(((T16*0.25)/U16)&gt;0.25,0.25,(T16*0.25)/U16)</f>
        <v>0.24468971261974176</v>
      </c>
      <c r="W16" s="123"/>
      <c r="X16" s="114">
        <f>+$O$16</f>
        <v>0.98</v>
      </c>
      <c r="Y16" s="87">
        <f>IF(((W16*0.25)/X16)&gt;0.25,0.25,(W16*0.25)/X16)</f>
        <v>0</v>
      </c>
      <c r="Z16" s="124"/>
      <c r="AA16" s="114">
        <f>+$O$16</f>
        <v>0.98</v>
      </c>
      <c r="AB16" s="87">
        <f>IF(((Z16*0.25)/AA16)&gt;0.25,0.25,(Z16*0.25)/AA16)</f>
        <v>0</v>
      </c>
      <c r="AC16" s="125"/>
      <c r="AD16" s="114">
        <f>+$O$16</f>
        <v>0.98</v>
      </c>
      <c r="AE16" s="87">
        <f>IF(((AC16*0.25)/AD16)&gt;0.25,0.25,(AC16*0.25)/AD16)</f>
        <v>0</v>
      </c>
      <c r="AF16" s="93">
        <f t="shared" si="0"/>
        <v>0.24468971261974176</v>
      </c>
      <c r="AG16" s="165"/>
      <c r="AH16" s="95" t="s">
        <v>35</v>
      </c>
      <c r="AI16" s="97" t="s">
        <v>36</v>
      </c>
      <c r="AJ16" s="68" t="s">
        <v>561</v>
      </c>
      <c r="AK16" s="152" t="s">
        <v>571</v>
      </c>
      <c r="AL16" s="96"/>
      <c r="AM16" s="96"/>
      <c r="AN16" s="96"/>
      <c r="AO16" s="96"/>
      <c r="AP16" s="96"/>
      <c r="AQ16" s="96"/>
    </row>
    <row r="17" spans="1:44" s="15" customFormat="1" ht="306.75" thickBot="1" x14ac:dyDescent="0.25">
      <c r="A17" s="108">
        <v>7</v>
      </c>
      <c r="B17" s="74" t="s">
        <v>218</v>
      </c>
      <c r="C17" s="74" t="s">
        <v>29</v>
      </c>
      <c r="D17" s="82" t="s">
        <v>219</v>
      </c>
      <c r="E17" s="74" t="s">
        <v>220</v>
      </c>
      <c r="F17" s="74" t="s">
        <v>37</v>
      </c>
      <c r="G17" s="74" t="s">
        <v>187</v>
      </c>
      <c r="H17" s="74" t="s">
        <v>183</v>
      </c>
      <c r="I17" s="74" t="s">
        <v>188</v>
      </c>
      <c r="J17" s="74" t="s">
        <v>285</v>
      </c>
      <c r="K17" s="74" t="s">
        <v>31</v>
      </c>
      <c r="L17" s="74" t="s">
        <v>38</v>
      </c>
      <c r="M17" s="122">
        <v>0.75</v>
      </c>
      <c r="N17" s="74" t="s">
        <v>39</v>
      </c>
      <c r="O17" s="122">
        <v>0.9</v>
      </c>
      <c r="P17" s="84" t="s">
        <v>320</v>
      </c>
      <c r="Q17" s="74" t="s">
        <v>34</v>
      </c>
      <c r="R17" s="85">
        <v>45292</v>
      </c>
      <c r="S17" s="85">
        <v>45657</v>
      </c>
      <c r="T17" s="104">
        <v>5</v>
      </c>
      <c r="U17" s="86">
        <v>5</v>
      </c>
      <c r="V17" s="87">
        <f>IFERROR((T17/U17)*0.25,0)</f>
        <v>0.25</v>
      </c>
      <c r="W17" s="104"/>
      <c r="X17" s="86"/>
      <c r="Y17" s="87">
        <f>IFERROR((W17/X17)*0.25,0)</f>
        <v>0</v>
      </c>
      <c r="Z17" s="104"/>
      <c r="AA17" s="86"/>
      <c r="AB17" s="87">
        <f>IFERROR((Z17/AA17)*0.25,0)</f>
        <v>0</v>
      </c>
      <c r="AC17" s="104"/>
      <c r="AD17" s="86"/>
      <c r="AE17" s="87">
        <f>IFERROR((AC17/AD17)*0.25,0)</f>
        <v>0</v>
      </c>
      <c r="AF17" s="93">
        <f t="shared" si="0"/>
        <v>0.25</v>
      </c>
      <c r="AG17" s="165"/>
      <c r="AH17" s="95" t="s">
        <v>35</v>
      </c>
      <c r="AI17" s="97" t="s">
        <v>36</v>
      </c>
      <c r="AJ17" s="145" t="s">
        <v>562</v>
      </c>
      <c r="AK17" s="152" t="s">
        <v>566</v>
      </c>
      <c r="AL17" s="96"/>
      <c r="AM17" s="96"/>
      <c r="AN17" s="96"/>
      <c r="AO17" s="96"/>
      <c r="AP17" s="96"/>
      <c r="AQ17" s="96"/>
    </row>
    <row r="18" spans="1:44" s="56" customFormat="1" ht="138" customHeight="1" thickBot="1" x14ac:dyDescent="0.25">
      <c r="A18" s="108">
        <v>8</v>
      </c>
      <c r="B18" s="74" t="s">
        <v>218</v>
      </c>
      <c r="C18" s="74" t="s">
        <v>29</v>
      </c>
      <c r="D18" s="82" t="s">
        <v>219</v>
      </c>
      <c r="E18" s="74" t="s">
        <v>220</v>
      </c>
      <c r="F18" s="74" t="s">
        <v>37</v>
      </c>
      <c r="G18" s="74" t="s">
        <v>425</v>
      </c>
      <c r="H18" s="74" t="s">
        <v>40</v>
      </c>
      <c r="I18" s="74" t="s">
        <v>319</v>
      </c>
      <c r="J18" s="74" t="s">
        <v>536</v>
      </c>
      <c r="K18" s="74" t="s">
        <v>41</v>
      </c>
      <c r="L18" s="74" t="s">
        <v>38</v>
      </c>
      <c r="M18" s="74" t="s">
        <v>33</v>
      </c>
      <c r="N18" s="74" t="s">
        <v>39</v>
      </c>
      <c r="O18" s="83">
        <v>800</v>
      </c>
      <c r="P18" s="84">
        <v>0.25</v>
      </c>
      <c r="Q18" s="74" t="s">
        <v>34</v>
      </c>
      <c r="R18" s="85">
        <v>45292</v>
      </c>
      <c r="S18" s="85">
        <v>45657</v>
      </c>
      <c r="T18" s="104">
        <v>140</v>
      </c>
      <c r="U18" s="86">
        <v>140</v>
      </c>
      <c r="V18" s="87">
        <f>+(T18/U18)*0.25</f>
        <v>0.25</v>
      </c>
      <c r="W18" s="99"/>
      <c r="X18" s="86">
        <v>350</v>
      </c>
      <c r="Y18" s="87">
        <f>+(W18/X18)*0.25</f>
        <v>0</v>
      </c>
      <c r="Z18" s="105"/>
      <c r="AA18" s="86">
        <v>200</v>
      </c>
      <c r="AB18" s="87">
        <f>+(Z18/AA18)*0.25</f>
        <v>0</v>
      </c>
      <c r="AC18" s="98"/>
      <c r="AD18" s="86">
        <v>110</v>
      </c>
      <c r="AE18" s="87">
        <f>+(AC18/AD18)*0.25</f>
        <v>0</v>
      </c>
      <c r="AF18" s="93">
        <f t="shared" ref="AF18:AF42" si="1">+V18+Y18+AB18+AE18</f>
        <v>0.25</v>
      </c>
      <c r="AG18" s="177"/>
      <c r="AH18" s="95" t="s">
        <v>35</v>
      </c>
      <c r="AI18" s="97" t="s">
        <v>36</v>
      </c>
      <c r="AJ18" s="68" t="s">
        <v>563</v>
      </c>
      <c r="AK18" s="152" t="s">
        <v>565</v>
      </c>
      <c r="AL18" s="96"/>
      <c r="AM18" s="96"/>
      <c r="AN18" s="96"/>
      <c r="AO18" s="96"/>
      <c r="AP18" s="96"/>
      <c r="AQ18" s="96"/>
    </row>
    <row r="19" spans="1:44" s="15" customFormat="1" ht="129" customHeight="1" thickBot="1" x14ac:dyDescent="0.25">
      <c r="A19" s="108">
        <v>9</v>
      </c>
      <c r="B19" s="74" t="s">
        <v>42</v>
      </c>
      <c r="C19" s="74" t="s">
        <v>43</v>
      </c>
      <c r="D19" s="82" t="s">
        <v>232</v>
      </c>
      <c r="E19" s="74" t="s">
        <v>235</v>
      </c>
      <c r="F19" s="74" t="s">
        <v>234</v>
      </c>
      <c r="G19" s="74" t="s">
        <v>422</v>
      </c>
      <c r="H19" s="74" t="s">
        <v>44</v>
      </c>
      <c r="I19" s="74" t="s">
        <v>45</v>
      </c>
      <c r="J19" s="74" t="s">
        <v>338</v>
      </c>
      <c r="K19" s="74" t="s">
        <v>41</v>
      </c>
      <c r="L19" s="74" t="s">
        <v>32</v>
      </c>
      <c r="M19" s="74" t="s">
        <v>33</v>
      </c>
      <c r="N19" s="74" t="s">
        <v>46</v>
      </c>
      <c r="O19" s="122">
        <v>0.2</v>
      </c>
      <c r="P19" s="84" t="s">
        <v>320</v>
      </c>
      <c r="Q19" s="74" t="s">
        <v>34</v>
      </c>
      <c r="R19" s="85">
        <v>45292</v>
      </c>
      <c r="S19" s="85">
        <v>45657</v>
      </c>
      <c r="T19" s="104">
        <v>867</v>
      </c>
      <c r="U19" s="86">
        <f>18123*5%</f>
        <v>906.15000000000009</v>
      </c>
      <c r="V19" s="87">
        <f>+(T19/U19)*0.25</f>
        <v>0.23919880814434694</v>
      </c>
      <c r="W19" s="99"/>
      <c r="X19" s="86">
        <v>906</v>
      </c>
      <c r="Y19" s="87">
        <f>+(W19/X19)*0.25</f>
        <v>0</v>
      </c>
      <c r="Z19" s="105"/>
      <c r="AA19" s="86">
        <v>906</v>
      </c>
      <c r="AB19" s="87">
        <f>+(Z19/AA19)*0.25</f>
        <v>0</v>
      </c>
      <c r="AC19" s="98"/>
      <c r="AD19" s="86">
        <v>906</v>
      </c>
      <c r="AE19" s="87">
        <f>+(AC19/AD19)*0.25</f>
        <v>0</v>
      </c>
      <c r="AF19" s="93">
        <f t="shared" si="1"/>
        <v>0.23919880814434694</v>
      </c>
      <c r="AG19" s="181">
        <f>((SUM(AF20:AF20)/3+AF19+AF21)/3)</f>
        <v>7.9732936048115641E-2</v>
      </c>
      <c r="AH19" s="95" t="s">
        <v>35</v>
      </c>
      <c r="AI19" s="97" t="s">
        <v>36</v>
      </c>
      <c r="AJ19" s="68" t="s">
        <v>474</v>
      </c>
      <c r="AK19" s="152" t="s">
        <v>473</v>
      </c>
      <c r="AL19" s="96"/>
      <c r="AM19" s="96"/>
      <c r="AN19" s="96"/>
      <c r="AO19" s="96"/>
      <c r="AP19" s="96"/>
      <c r="AQ19" s="96"/>
    </row>
    <row r="20" spans="1:44" s="78" customFormat="1" ht="117.75" customHeight="1" thickBot="1" x14ac:dyDescent="0.25">
      <c r="A20" s="108">
        <v>10</v>
      </c>
      <c r="B20" s="74" t="s">
        <v>42</v>
      </c>
      <c r="C20" s="74" t="s">
        <v>43</v>
      </c>
      <c r="D20" s="82" t="s">
        <v>232</v>
      </c>
      <c r="E20" s="74" t="s">
        <v>235</v>
      </c>
      <c r="F20" s="74" t="s">
        <v>236</v>
      </c>
      <c r="G20" s="74" t="s">
        <v>423</v>
      </c>
      <c r="H20" s="74" t="s">
        <v>424</v>
      </c>
      <c r="I20" s="74" t="s">
        <v>339</v>
      </c>
      <c r="J20" s="74" t="s">
        <v>48</v>
      </c>
      <c r="K20" s="74" t="s">
        <v>31</v>
      </c>
      <c r="L20" s="74" t="s">
        <v>32</v>
      </c>
      <c r="M20" s="74" t="s">
        <v>33</v>
      </c>
      <c r="N20" s="74" t="s">
        <v>33</v>
      </c>
      <c r="O20" s="83">
        <v>116</v>
      </c>
      <c r="P20" s="84">
        <v>0.25</v>
      </c>
      <c r="Q20" s="74" t="s">
        <v>34</v>
      </c>
      <c r="R20" s="85">
        <v>45292</v>
      </c>
      <c r="S20" s="85">
        <v>45657</v>
      </c>
      <c r="T20" s="104">
        <v>0</v>
      </c>
      <c r="U20" s="86">
        <v>80</v>
      </c>
      <c r="V20" s="87">
        <f>+(T20/U20)*0.25</f>
        <v>0</v>
      </c>
      <c r="W20" s="99"/>
      <c r="X20" s="86">
        <v>80</v>
      </c>
      <c r="Y20" s="87">
        <f>+(W20/X20)*0.25</f>
        <v>0</v>
      </c>
      <c r="Z20" s="105"/>
      <c r="AA20" s="86">
        <v>80</v>
      </c>
      <c r="AB20" s="87">
        <f>+(Z20/AA20)*0.25</f>
        <v>0</v>
      </c>
      <c r="AC20" s="98"/>
      <c r="AD20" s="86">
        <v>80</v>
      </c>
      <c r="AE20" s="87">
        <f>+(AC20/AD20)*0.25</f>
        <v>0</v>
      </c>
      <c r="AF20" s="93">
        <f>+V20+Y20+AB20+AE20</f>
        <v>0</v>
      </c>
      <c r="AG20" s="182"/>
      <c r="AH20" s="95" t="s">
        <v>35</v>
      </c>
      <c r="AI20" s="97" t="s">
        <v>36</v>
      </c>
      <c r="AJ20" s="68" t="s">
        <v>476</v>
      </c>
      <c r="AK20" s="152" t="s">
        <v>475</v>
      </c>
      <c r="AL20" s="96"/>
      <c r="AM20" s="96"/>
      <c r="AN20" s="96"/>
      <c r="AO20" s="96"/>
      <c r="AP20" s="96"/>
      <c r="AQ20" s="96"/>
    </row>
    <row r="21" spans="1:44" s="78" customFormat="1" ht="156" customHeight="1" thickBot="1" x14ac:dyDescent="0.25">
      <c r="A21" s="108">
        <v>11</v>
      </c>
      <c r="B21" s="74" t="s">
        <v>42</v>
      </c>
      <c r="C21" s="74" t="s">
        <v>43</v>
      </c>
      <c r="D21" s="82" t="s">
        <v>232</v>
      </c>
      <c r="E21" s="74" t="s">
        <v>235</v>
      </c>
      <c r="F21" s="74" t="s">
        <v>234</v>
      </c>
      <c r="G21" s="74" t="s">
        <v>340</v>
      </c>
      <c r="H21" s="74" t="s">
        <v>49</v>
      </c>
      <c r="I21" s="74" t="s">
        <v>50</v>
      </c>
      <c r="J21" s="74" t="s">
        <v>414</v>
      </c>
      <c r="K21" s="74" t="s">
        <v>31</v>
      </c>
      <c r="L21" s="74" t="s">
        <v>32</v>
      </c>
      <c r="M21" s="74" t="s">
        <v>33</v>
      </c>
      <c r="N21" s="74" t="s">
        <v>33</v>
      </c>
      <c r="O21" s="83">
        <v>30</v>
      </c>
      <c r="P21" s="84">
        <v>0.5</v>
      </c>
      <c r="Q21" s="74" t="s">
        <v>133</v>
      </c>
      <c r="R21" s="85">
        <v>45292</v>
      </c>
      <c r="S21" s="85">
        <v>45657</v>
      </c>
      <c r="T21" s="104">
        <v>0</v>
      </c>
      <c r="U21" s="86">
        <v>0</v>
      </c>
      <c r="V21" s="87" t="s">
        <v>33</v>
      </c>
      <c r="W21" s="99"/>
      <c r="X21" s="86">
        <v>30</v>
      </c>
      <c r="Y21" s="87">
        <f>+(W21/X21)*0.5</f>
        <v>0</v>
      </c>
      <c r="Z21" s="104">
        <v>0</v>
      </c>
      <c r="AA21" s="86">
        <v>0</v>
      </c>
      <c r="AB21" s="87" t="s">
        <v>33</v>
      </c>
      <c r="AC21" s="98"/>
      <c r="AD21" s="86">
        <v>30</v>
      </c>
      <c r="AE21" s="87">
        <f>+(AC21/AD21)*0.25</f>
        <v>0</v>
      </c>
      <c r="AF21" s="93">
        <f>Y21+AE21</f>
        <v>0</v>
      </c>
      <c r="AG21" s="183"/>
      <c r="AH21" s="95" t="s">
        <v>35</v>
      </c>
      <c r="AI21" s="97" t="s">
        <v>36</v>
      </c>
      <c r="AJ21" s="68" t="s">
        <v>478</v>
      </c>
      <c r="AK21" s="152" t="s">
        <v>477</v>
      </c>
      <c r="AL21" s="96"/>
      <c r="AM21" s="96"/>
      <c r="AN21" s="96"/>
      <c r="AO21" s="96"/>
      <c r="AP21" s="96"/>
      <c r="AQ21" s="96"/>
    </row>
    <row r="22" spans="1:44" s="72" customFormat="1" ht="153.75" customHeight="1" thickBot="1" x14ac:dyDescent="0.25">
      <c r="A22" s="108">
        <v>12</v>
      </c>
      <c r="B22" s="74" t="s">
        <v>42</v>
      </c>
      <c r="C22" s="74" t="s">
        <v>43</v>
      </c>
      <c r="D22" s="82" t="s">
        <v>412</v>
      </c>
      <c r="E22" s="74" t="s">
        <v>242</v>
      </c>
      <c r="F22" s="74" t="s">
        <v>241</v>
      </c>
      <c r="G22" s="74" t="s">
        <v>51</v>
      </c>
      <c r="H22" s="74" t="s">
        <v>52</v>
      </c>
      <c r="I22" s="74" t="s">
        <v>53</v>
      </c>
      <c r="J22" s="74" t="s">
        <v>54</v>
      </c>
      <c r="K22" s="74" t="s">
        <v>41</v>
      </c>
      <c r="L22" s="74" t="s">
        <v>32</v>
      </c>
      <c r="M22" s="74" t="s">
        <v>33</v>
      </c>
      <c r="N22" s="74" t="s">
        <v>47</v>
      </c>
      <c r="O22" s="83">
        <v>1800</v>
      </c>
      <c r="P22" s="84" t="s">
        <v>320</v>
      </c>
      <c r="Q22" s="74" t="s">
        <v>34</v>
      </c>
      <c r="R22" s="85">
        <v>45292</v>
      </c>
      <c r="S22" s="85">
        <v>45657</v>
      </c>
      <c r="T22" s="104">
        <v>82</v>
      </c>
      <c r="U22" s="86">
        <v>150</v>
      </c>
      <c r="V22" s="87">
        <f>(T22/$O$22)</f>
        <v>4.5555555555555557E-2</v>
      </c>
      <c r="W22" s="99"/>
      <c r="X22" s="86">
        <v>650</v>
      </c>
      <c r="Y22" s="87">
        <f>(W22/$O$22)</f>
        <v>0</v>
      </c>
      <c r="Z22" s="105"/>
      <c r="AA22" s="86">
        <v>600</v>
      </c>
      <c r="AB22" s="87">
        <f>(Z22/$O$22)</f>
        <v>0</v>
      </c>
      <c r="AC22" s="98"/>
      <c r="AD22" s="86">
        <v>400</v>
      </c>
      <c r="AE22" s="87">
        <f>(AC22/$O$22)</f>
        <v>0</v>
      </c>
      <c r="AF22" s="93">
        <f t="shared" si="1"/>
        <v>4.5555555555555557E-2</v>
      </c>
      <c r="AG22" s="171">
        <f>+(AF22+AF23+AF24+AF25+AF26)/5</f>
        <v>0.17801140167583537</v>
      </c>
      <c r="AH22" s="95" t="s">
        <v>35</v>
      </c>
      <c r="AI22" s="97" t="s">
        <v>36</v>
      </c>
      <c r="AJ22" s="68" t="s">
        <v>480</v>
      </c>
      <c r="AK22" s="152" t="s">
        <v>479</v>
      </c>
      <c r="AL22" s="96"/>
      <c r="AM22" s="96"/>
      <c r="AN22" s="96"/>
      <c r="AO22" s="96"/>
      <c r="AP22" s="96"/>
      <c r="AQ22" s="96"/>
      <c r="AR22" s="15"/>
    </row>
    <row r="23" spans="1:44" s="73" customFormat="1" ht="154.5" customHeight="1" thickBot="1" x14ac:dyDescent="0.25">
      <c r="A23" s="108">
        <v>13</v>
      </c>
      <c r="B23" s="74" t="s">
        <v>42</v>
      </c>
      <c r="C23" s="74" t="s">
        <v>43</v>
      </c>
      <c r="D23" s="82" t="s">
        <v>412</v>
      </c>
      <c r="E23" s="74" t="s">
        <v>242</v>
      </c>
      <c r="F23" s="74" t="s">
        <v>241</v>
      </c>
      <c r="G23" s="74" t="s">
        <v>445</v>
      </c>
      <c r="H23" s="74" t="s">
        <v>55</v>
      </c>
      <c r="I23" s="74" t="s">
        <v>56</v>
      </c>
      <c r="J23" s="74" t="s">
        <v>426</v>
      </c>
      <c r="K23" s="74" t="s">
        <v>31</v>
      </c>
      <c r="L23" s="74" t="s">
        <v>32</v>
      </c>
      <c r="M23" s="74" t="s">
        <v>33</v>
      </c>
      <c r="N23" s="74" t="s">
        <v>33</v>
      </c>
      <c r="O23" s="84">
        <v>0.95</v>
      </c>
      <c r="P23" s="84">
        <v>0.25</v>
      </c>
      <c r="Q23" s="74" t="s">
        <v>34</v>
      </c>
      <c r="R23" s="85">
        <v>45292</v>
      </c>
      <c r="S23" s="85">
        <v>45657</v>
      </c>
      <c r="T23" s="110">
        <v>1</v>
      </c>
      <c r="U23" s="110">
        <v>1</v>
      </c>
      <c r="V23" s="109">
        <f>+(T23/U23)*$P$23</f>
        <v>0.25</v>
      </c>
      <c r="W23" s="99"/>
      <c r="X23" s="110">
        <v>1</v>
      </c>
      <c r="Y23" s="109">
        <f>+(W23/X23)*P23</f>
        <v>0</v>
      </c>
      <c r="Z23" s="105"/>
      <c r="AA23" s="110">
        <v>1</v>
      </c>
      <c r="AB23" s="109">
        <f>+(Z23/AA23)*P23</f>
        <v>0</v>
      </c>
      <c r="AC23" s="98"/>
      <c r="AD23" s="110">
        <v>1</v>
      </c>
      <c r="AE23" s="109">
        <f>+(AC23/AD23)*P23</f>
        <v>0</v>
      </c>
      <c r="AF23" s="93">
        <f t="shared" si="1"/>
        <v>0.25</v>
      </c>
      <c r="AG23" s="172"/>
      <c r="AH23" s="95" t="s">
        <v>35</v>
      </c>
      <c r="AI23" s="97" t="s">
        <v>36</v>
      </c>
      <c r="AJ23" s="68" t="s">
        <v>482</v>
      </c>
      <c r="AK23" s="152" t="s">
        <v>481</v>
      </c>
      <c r="AL23" s="96"/>
      <c r="AM23" s="96"/>
      <c r="AN23" s="96"/>
      <c r="AO23" s="96"/>
      <c r="AP23" s="96"/>
      <c r="AQ23" s="96"/>
      <c r="AR23" s="56"/>
    </row>
    <row r="24" spans="1:44" s="72" customFormat="1" ht="164.25" customHeight="1" thickBot="1" x14ac:dyDescent="0.25">
      <c r="A24" s="108">
        <v>14</v>
      </c>
      <c r="B24" s="74" t="s">
        <v>42</v>
      </c>
      <c r="C24" s="74" t="s">
        <v>43</v>
      </c>
      <c r="D24" s="82" t="s">
        <v>412</v>
      </c>
      <c r="E24" s="74" t="s">
        <v>242</v>
      </c>
      <c r="F24" s="74" t="s">
        <v>241</v>
      </c>
      <c r="G24" s="74" t="s">
        <v>57</v>
      </c>
      <c r="H24" s="74" t="s">
        <v>58</v>
      </c>
      <c r="I24" s="74" t="s">
        <v>59</v>
      </c>
      <c r="J24" s="74" t="s">
        <v>287</v>
      </c>
      <c r="K24" s="74" t="s">
        <v>31</v>
      </c>
      <c r="L24" s="74" t="s">
        <v>32</v>
      </c>
      <c r="M24" s="74" t="s">
        <v>33</v>
      </c>
      <c r="N24" s="74" t="s">
        <v>33</v>
      </c>
      <c r="O24" s="84">
        <v>0.95</v>
      </c>
      <c r="P24" s="84">
        <v>0.25</v>
      </c>
      <c r="Q24" s="74" t="s">
        <v>34</v>
      </c>
      <c r="R24" s="85">
        <v>45292</v>
      </c>
      <c r="S24" s="85">
        <v>45657</v>
      </c>
      <c r="T24" s="110">
        <v>75</v>
      </c>
      <c r="U24" s="110">
        <v>81</v>
      </c>
      <c r="V24" s="87">
        <f>+(T24/U24)*$P$24</f>
        <v>0.23148148148148148</v>
      </c>
      <c r="W24" s="99"/>
      <c r="X24" s="86">
        <v>0.95</v>
      </c>
      <c r="Y24" s="87">
        <f>+(W24/X24)*P24</f>
        <v>0</v>
      </c>
      <c r="Z24" s="105"/>
      <c r="AA24" s="86">
        <v>0.95</v>
      </c>
      <c r="AB24" s="87">
        <f>+(Z24/AA24)*P24</f>
        <v>0</v>
      </c>
      <c r="AC24" s="98"/>
      <c r="AD24" s="86">
        <v>0.95</v>
      </c>
      <c r="AE24" s="87">
        <f>+(AC24/AD24)*P24</f>
        <v>0</v>
      </c>
      <c r="AF24" s="93">
        <f t="shared" si="1"/>
        <v>0.23148148148148148</v>
      </c>
      <c r="AG24" s="172"/>
      <c r="AH24" s="95" t="s">
        <v>35</v>
      </c>
      <c r="AI24" s="97" t="s">
        <v>36</v>
      </c>
      <c r="AJ24" s="68" t="s">
        <v>483</v>
      </c>
      <c r="AK24" s="152" t="s">
        <v>484</v>
      </c>
      <c r="AL24" s="96"/>
      <c r="AM24" s="96"/>
      <c r="AN24" s="96"/>
      <c r="AO24" s="96"/>
      <c r="AP24" s="96"/>
      <c r="AQ24" s="96"/>
      <c r="AR24" s="15"/>
    </row>
    <row r="25" spans="1:44" s="115" customFormat="1" ht="142.5" customHeight="1" thickBot="1" x14ac:dyDescent="0.25">
      <c r="A25" s="108">
        <v>15</v>
      </c>
      <c r="B25" s="74" t="s">
        <v>42</v>
      </c>
      <c r="C25" s="74" t="s">
        <v>43</v>
      </c>
      <c r="D25" s="82" t="s">
        <v>412</v>
      </c>
      <c r="E25" s="74" t="s">
        <v>427</v>
      </c>
      <c r="F25" s="74" t="s">
        <v>322</v>
      </c>
      <c r="G25" s="74" t="s">
        <v>323</v>
      </c>
      <c r="H25" s="74" t="s">
        <v>321</v>
      </c>
      <c r="I25" s="74" t="s">
        <v>61</v>
      </c>
      <c r="J25" s="74" t="s">
        <v>290</v>
      </c>
      <c r="K25" s="74" t="s">
        <v>31</v>
      </c>
      <c r="L25" s="74" t="s">
        <v>62</v>
      </c>
      <c r="M25" s="74">
        <v>0.255</v>
      </c>
      <c r="N25" s="74" t="s">
        <v>63</v>
      </c>
      <c r="O25" s="83" t="s">
        <v>324</v>
      </c>
      <c r="P25" s="84">
        <v>0.25</v>
      </c>
      <c r="Q25" s="74" t="s">
        <v>34</v>
      </c>
      <c r="R25" s="85">
        <v>45292</v>
      </c>
      <c r="S25" s="85">
        <v>45657</v>
      </c>
      <c r="T25" s="113">
        <v>0.27260000000000001</v>
      </c>
      <c r="U25" s="114">
        <v>0.24</v>
      </c>
      <c r="V25" s="87">
        <f>IF((IF(T25="",0%,IF(T25&lt;=U25,25%,(0.25-((T25-U25)*1)/0.24))))&lt;0,0,(IF(T25="",0%,IF(T25&lt;=U25,25%,(0.25-((T25-U25)*1)/0.24)))))</f>
        <v>0.11416666666666658</v>
      </c>
      <c r="W25" s="123"/>
      <c r="X25" s="114">
        <v>0.24</v>
      </c>
      <c r="Y25" s="87">
        <f>IF((IF(W25="",0%,IF(W25&lt;=X25,25%,(0.25-((W25-X25)*1)/0.24))))&lt;0,0,(IF(W25="",0%,IF(W25&lt;=X25,25%,(0.25-((W25-X25)*1)/0.24)))))</f>
        <v>0</v>
      </c>
      <c r="Z25" s="124"/>
      <c r="AA25" s="114">
        <v>0.24</v>
      </c>
      <c r="AB25" s="87">
        <f>IF((IF(Z25="",0%,IF(Z25&lt;=AA25,25%,(0.25-((Z25-AA25)*1)/0.24))))&lt;0,0,(IF(Z25="",0%,IF(Z25&lt;=AA25,25%,(0.25-((Z25-AA25)*1)/0.24)))))</f>
        <v>0</v>
      </c>
      <c r="AC25" s="125"/>
      <c r="AD25" s="114">
        <v>0.24</v>
      </c>
      <c r="AE25" s="87">
        <f>IF((IF(AC25="",0%,IF(AC25&lt;=AD25,25%,(0.25-((AC25-AD25)*1)/0.24))))&lt;0,0,(IF(AC25="",0%,IF(AC25&lt;=AD25,25%,(0.25-((AC25-AD25)*1)/0.24)))))</f>
        <v>0</v>
      </c>
      <c r="AF25" s="93">
        <f t="shared" si="1"/>
        <v>0.11416666666666658</v>
      </c>
      <c r="AG25" s="173"/>
      <c r="AH25" s="95" t="s">
        <v>35</v>
      </c>
      <c r="AI25" s="97" t="s">
        <v>36</v>
      </c>
      <c r="AJ25" s="68" t="s">
        <v>485</v>
      </c>
      <c r="AK25" s="152" t="s">
        <v>572</v>
      </c>
      <c r="AL25" s="96"/>
      <c r="AM25" s="96"/>
      <c r="AN25" s="96"/>
      <c r="AO25" s="96"/>
      <c r="AP25" s="96"/>
      <c r="AQ25" s="96"/>
    </row>
    <row r="26" spans="1:44" s="56" customFormat="1" ht="71.25" customHeight="1" thickBot="1" x14ac:dyDescent="0.25">
      <c r="A26" s="108">
        <v>16</v>
      </c>
      <c r="B26" s="74" t="s">
        <v>42</v>
      </c>
      <c r="C26" s="74" t="s">
        <v>43</v>
      </c>
      <c r="D26" s="82" t="s">
        <v>412</v>
      </c>
      <c r="E26" s="74" t="s">
        <v>243</v>
      </c>
      <c r="F26" s="74" t="s">
        <v>60</v>
      </c>
      <c r="G26" s="74" t="s">
        <v>64</v>
      </c>
      <c r="H26" s="74" t="s">
        <v>65</v>
      </c>
      <c r="I26" s="74" t="s">
        <v>66</v>
      </c>
      <c r="J26" s="74" t="s">
        <v>67</v>
      </c>
      <c r="K26" s="74" t="s">
        <v>31</v>
      </c>
      <c r="L26" s="74" t="s">
        <v>62</v>
      </c>
      <c r="M26" s="74" t="s">
        <v>33</v>
      </c>
      <c r="N26" s="74" t="s">
        <v>33</v>
      </c>
      <c r="O26" s="84">
        <v>0.95</v>
      </c>
      <c r="P26" s="84">
        <v>0.25</v>
      </c>
      <c r="Q26" s="74" t="s">
        <v>34</v>
      </c>
      <c r="R26" s="85">
        <v>45292</v>
      </c>
      <c r="S26" s="85">
        <v>45657</v>
      </c>
      <c r="T26" s="111">
        <v>8241562426</v>
      </c>
      <c r="U26" s="111">
        <v>8279538860</v>
      </c>
      <c r="V26" s="87">
        <f>+(T26/U26)*$P$26</f>
        <v>0.2488533046754732</v>
      </c>
      <c r="W26" s="99"/>
      <c r="X26" s="86">
        <v>0.95</v>
      </c>
      <c r="Y26" s="87">
        <f>+(W26/X26)*P26</f>
        <v>0</v>
      </c>
      <c r="Z26" s="105"/>
      <c r="AA26" s="86">
        <v>0.95</v>
      </c>
      <c r="AB26" s="87">
        <f>+(Z26/AA26)*P26</f>
        <v>0</v>
      </c>
      <c r="AC26" s="98"/>
      <c r="AD26" s="86">
        <v>0.95</v>
      </c>
      <c r="AE26" s="87">
        <f>+(AC26/AD26)*P26</f>
        <v>0</v>
      </c>
      <c r="AF26" s="93">
        <f t="shared" si="1"/>
        <v>0.2488533046754732</v>
      </c>
      <c r="AG26" s="163"/>
      <c r="AH26" s="95" t="s">
        <v>35</v>
      </c>
      <c r="AI26" s="97" t="s">
        <v>36</v>
      </c>
      <c r="AJ26" s="68" t="s">
        <v>486</v>
      </c>
      <c r="AK26" s="152" t="s">
        <v>487</v>
      </c>
      <c r="AL26" s="96"/>
      <c r="AM26" s="96"/>
      <c r="AN26" s="96"/>
      <c r="AO26" s="96"/>
      <c r="AP26" s="96"/>
      <c r="AQ26" s="96"/>
    </row>
    <row r="27" spans="1:44" s="73" customFormat="1" ht="124.5" customHeight="1" thickBot="1" x14ac:dyDescent="0.25">
      <c r="A27" s="108">
        <v>17</v>
      </c>
      <c r="B27" s="74" t="s">
        <v>42</v>
      </c>
      <c r="C27" s="74" t="s">
        <v>43</v>
      </c>
      <c r="D27" s="82" t="s">
        <v>412</v>
      </c>
      <c r="E27" s="74" t="s">
        <v>243</v>
      </c>
      <c r="F27" s="74" t="s">
        <v>60</v>
      </c>
      <c r="G27" s="74" t="s">
        <v>341</v>
      </c>
      <c r="H27" s="74" t="s">
        <v>288</v>
      </c>
      <c r="I27" s="74" t="s">
        <v>289</v>
      </c>
      <c r="J27" s="74" t="s">
        <v>291</v>
      </c>
      <c r="K27" s="74" t="s">
        <v>31</v>
      </c>
      <c r="L27" s="74" t="s">
        <v>62</v>
      </c>
      <c r="M27" s="74">
        <v>1.6</v>
      </c>
      <c r="N27" s="74" t="s">
        <v>63</v>
      </c>
      <c r="O27" s="83" t="s">
        <v>292</v>
      </c>
      <c r="P27" s="84">
        <v>0.25</v>
      </c>
      <c r="Q27" s="74" t="s">
        <v>34</v>
      </c>
      <c r="R27" s="85">
        <v>45292</v>
      </c>
      <c r="S27" s="85">
        <v>45657</v>
      </c>
      <c r="T27" s="116">
        <v>3.5000000000000003E-2</v>
      </c>
      <c r="U27" s="114">
        <v>0.02</v>
      </c>
      <c r="V27" s="87">
        <f>IF((IF(T27="",0%,IF(T27&lt;=U27,25%,(0.25-((T27-U27)*0.25)/0.02))))&lt;0,0,(IF(T27="",0%,IF(T27&lt;=U27,25%,(0.25-((T27-U27)*0.25)/0.02)))))</f>
        <v>6.2499999999999972E-2</v>
      </c>
      <c r="W27" s="117"/>
      <c r="X27" s="114">
        <v>0.02</v>
      </c>
      <c r="Y27" s="87">
        <f>IF((IF(W27="",0%,IF(W27&lt;=X27,25%,(0.25-((W27-X27)*0.25)/0.02))))&lt;0,0,(IF(W27="",0%,IF(W27&lt;=X27,25%,(0.25-((W27-X27)*0.25)/0.02)))))</f>
        <v>0</v>
      </c>
      <c r="Z27" s="105"/>
      <c r="AA27" s="86">
        <v>0.02</v>
      </c>
      <c r="AB27" s="87">
        <f>IF((IF(Z27="",0%,IF(Z27&lt;=AA27,25%,(0.25-((Z27-AA27)*0.25)/0.02))))&lt;0,0,(IF(Z27="",0%,IF(Z27&lt;=AA27,25%,(0.25-((Z27-AA27)*0.25)/0.02)))))</f>
        <v>0</v>
      </c>
      <c r="AC27" s="98"/>
      <c r="AD27" s="86">
        <v>0.02</v>
      </c>
      <c r="AE27" s="87">
        <f>IF((IF(AC27="",0%,IF(AC27&lt;=AD27,25%,(0.25-((AC27-AD27)*0.25)/0.02))))&lt;0,0,(IF(AC27="",0%,IF(AC27&lt;=AD27,25%,(0.25-((AC27-AD27)*0.25)/0.02)))))</f>
        <v>0</v>
      </c>
      <c r="AF27" s="93">
        <f t="shared" si="1"/>
        <v>6.2499999999999972E-2</v>
      </c>
      <c r="AG27" s="118"/>
      <c r="AH27" s="95" t="s">
        <v>35</v>
      </c>
      <c r="AI27" s="97" t="s">
        <v>36</v>
      </c>
      <c r="AJ27" s="68" t="s">
        <v>488</v>
      </c>
      <c r="AK27" s="152" t="s">
        <v>489</v>
      </c>
      <c r="AL27" s="96"/>
      <c r="AM27" s="96"/>
      <c r="AN27" s="96"/>
      <c r="AO27" s="96"/>
      <c r="AP27" s="96"/>
      <c r="AQ27" s="96"/>
      <c r="AR27" s="56"/>
    </row>
    <row r="28" spans="1:44" s="73" customFormat="1" ht="135" customHeight="1" thickBot="1" x14ac:dyDescent="0.25">
      <c r="A28" s="108">
        <v>18</v>
      </c>
      <c r="B28" s="74" t="s">
        <v>42</v>
      </c>
      <c r="C28" s="74" t="s">
        <v>43</v>
      </c>
      <c r="D28" s="82" t="s">
        <v>412</v>
      </c>
      <c r="E28" s="74" t="s">
        <v>243</v>
      </c>
      <c r="F28" s="74" t="s">
        <v>60</v>
      </c>
      <c r="G28" s="74" t="s">
        <v>325</v>
      </c>
      <c r="H28" s="74" t="s">
        <v>326</v>
      </c>
      <c r="I28" s="74" t="s">
        <v>327</v>
      </c>
      <c r="J28" s="74" t="s">
        <v>328</v>
      </c>
      <c r="K28" s="74" t="s">
        <v>31</v>
      </c>
      <c r="L28" s="74" t="s">
        <v>62</v>
      </c>
      <c r="M28" s="74">
        <v>2</v>
      </c>
      <c r="N28" s="74" t="s">
        <v>63</v>
      </c>
      <c r="O28" s="83" t="s">
        <v>292</v>
      </c>
      <c r="P28" s="84">
        <v>0.25</v>
      </c>
      <c r="Q28" s="74" t="s">
        <v>34</v>
      </c>
      <c r="R28" s="85">
        <v>45292</v>
      </c>
      <c r="S28" s="85">
        <v>45657</v>
      </c>
      <c r="T28" s="116">
        <v>3.5999999999999997E-2</v>
      </c>
      <c r="U28" s="114">
        <v>0.02</v>
      </c>
      <c r="V28" s="87">
        <f>IF((IF(T28="",0%,IF(T28&lt;=U28,25%,(0.25-((T28-U28)*0.25)/0.02))))&lt;0,0,(IF(T28="",0%,IF(T28&lt;=U28,25%,(0.25-((T28-U28)*0.25)/0.02)))))</f>
        <v>5.0000000000000044E-2</v>
      </c>
      <c r="W28" s="99"/>
      <c r="X28" s="86">
        <v>0.02</v>
      </c>
      <c r="Y28" s="87">
        <f>IF((IF(W28="",0%,IF(W28&lt;=X28,25%,(0.25-((W28-X28)*0.25)/0.02))))&lt;0,0,(IF(W28="",0%,IF(W28&lt;=X28,25%,(0.25-((W28-X28)*0.25)/0.02)))))</f>
        <v>0</v>
      </c>
      <c r="Z28" s="105"/>
      <c r="AA28" s="86">
        <v>0.02</v>
      </c>
      <c r="AB28" s="87">
        <f>IF((IF(Z28="",0%,IF(Z28&lt;=AA28,25%,(0.25-((Z28-AA28)*0.25)/0.02))))&lt;0,0,(IF(Z28="",0%,IF(Z28&lt;=AA28,25%,(0.25-((Z28-AA28)*0.25)/0.02)))))</f>
        <v>0</v>
      </c>
      <c r="AC28" s="98"/>
      <c r="AD28" s="86">
        <v>0.02</v>
      </c>
      <c r="AE28" s="87">
        <f>IF((IF(AC28="",0%,IF(AC28&lt;=AD28,25%,(0.25-((AC28-AD28)*0.25)/0.02))))&lt;0,0,(IF(AC28="",0%,IF(AC28&lt;=AD28,25%,(0.25-((AC28-AD28)*0.25)/0.02)))))</f>
        <v>0</v>
      </c>
      <c r="AF28" s="93">
        <f t="shared" si="1"/>
        <v>5.0000000000000044E-2</v>
      </c>
      <c r="AG28" s="119"/>
      <c r="AH28" s="95" t="s">
        <v>35</v>
      </c>
      <c r="AI28" s="97" t="s">
        <v>36</v>
      </c>
      <c r="AJ28" s="68" t="s">
        <v>490</v>
      </c>
      <c r="AK28" s="152" t="s">
        <v>573</v>
      </c>
      <c r="AL28" s="96"/>
      <c r="AM28" s="96"/>
      <c r="AN28" s="96"/>
      <c r="AO28" s="96"/>
      <c r="AP28" s="96"/>
      <c r="AQ28" s="96"/>
      <c r="AR28" s="56"/>
    </row>
    <row r="29" spans="1:44" s="15" customFormat="1" ht="111" customHeight="1" thickBot="1" x14ac:dyDescent="0.25">
      <c r="A29" s="108">
        <v>19</v>
      </c>
      <c r="B29" s="74" t="s">
        <v>68</v>
      </c>
      <c r="C29" s="74" t="s">
        <v>69</v>
      </c>
      <c r="D29" s="82" t="s">
        <v>244</v>
      </c>
      <c r="E29" s="74" t="s">
        <v>245</v>
      </c>
      <c r="F29" s="74" t="s">
        <v>311</v>
      </c>
      <c r="G29" s="74" t="s">
        <v>70</v>
      </c>
      <c r="H29" s="74" t="s">
        <v>71</v>
      </c>
      <c r="I29" s="74" t="s">
        <v>72</v>
      </c>
      <c r="J29" s="74" t="s">
        <v>310</v>
      </c>
      <c r="K29" s="74" t="s">
        <v>31</v>
      </c>
      <c r="L29" s="74" t="s">
        <v>73</v>
      </c>
      <c r="M29" s="74" t="s">
        <v>33</v>
      </c>
      <c r="N29" s="74" t="s">
        <v>33</v>
      </c>
      <c r="O29" s="83">
        <v>1</v>
      </c>
      <c r="P29" s="84">
        <v>0.25</v>
      </c>
      <c r="Q29" s="74" t="s">
        <v>34</v>
      </c>
      <c r="R29" s="85">
        <v>45292</v>
      </c>
      <c r="S29" s="85">
        <v>45657</v>
      </c>
      <c r="T29" s="104"/>
      <c r="U29" s="86">
        <v>14</v>
      </c>
      <c r="V29" s="87">
        <f>IFERROR((T29/U29)*25%,0)</f>
        <v>0</v>
      </c>
      <c r="W29" s="99"/>
      <c r="X29" s="86"/>
      <c r="Y29" s="87">
        <f>IFERROR((W29/X29)*25%,0)</f>
        <v>0</v>
      </c>
      <c r="Z29" s="105"/>
      <c r="AA29" s="86"/>
      <c r="AB29" s="87">
        <f>IFERROR((Z29/AA29)*25%,0)</f>
        <v>0</v>
      </c>
      <c r="AC29" s="98"/>
      <c r="AD29" s="86"/>
      <c r="AE29" s="87">
        <f>IFERROR((AC29/AD29)*25%,0)</f>
        <v>0</v>
      </c>
      <c r="AF29" s="93"/>
      <c r="AG29" s="162">
        <f>+(AF29+AF30+AF31)/3</f>
        <v>0.13888888888888887</v>
      </c>
      <c r="AH29" s="95" t="s">
        <v>74</v>
      </c>
      <c r="AI29" s="97" t="s">
        <v>75</v>
      </c>
      <c r="AJ29" s="68" t="s">
        <v>537</v>
      </c>
      <c r="AK29" s="152" t="s">
        <v>574</v>
      </c>
      <c r="AL29" s="96"/>
      <c r="AM29" s="96"/>
      <c r="AN29" s="96"/>
      <c r="AO29" s="96"/>
      <c r="AP29" s="96"/>
      <c r="AQ29" s="96"/>
    </row>
    <row r="30" spans="1:44" s="15" customFormat="1" ht="131.25" customHeight="1" thickBot="1" x14ac:dyDescent="0.25">
      <c r="A30" s="108">
        <v>20</v>
      </c>
      <c r="B30" s="74" t="s">
        <v>68</v>
      </c>
      <c r="C30" s="74" t="s">
        <v>69</v>
      </c>
      <c r="D30" s="82" t="s">
        <v>244</v>
      </c>
      <c r="E30" s="74" t="s">
        <v>245</v>
      </c>
      <c r="F30" s="74" t="s">
        <v>311</v>
      </c>
      <c r="G30" s="74" t="s">
        <v>189</v>
      </c>
      <c r="H30" s="74" t="s">
        <v>186</v>
      </c>
      <c r="I30" s="74" t="s">
        <v>329</v>
      </c>
      <c r="J30" s="74" t="s">
        <v>330</v>
      </c>
      <c r="K30" s="74" t="s">
        <v>41</v>
      </c>
      <c r="L30" s="74" t="s">
        <v>73</v>
      </c>
      <c r="M30" s="74">
        <v>3</v>
      </c>
      <c r="N30" s="74" t="s">
        <v>331</v>
      </c>
      <c r="O30" s="83">
        <v>1</v>
      </c>
      <c r="P30" s="84">
        <v>0.33</v>
      </c>
      <c r="Q30" s="74" t="s">
        <v>34</v>
      </c>
      <c r="R30" s="85">
        <v>45292</v>
      </c>
      <c r="S30" s="85">
        <v>45657</v>
      </c>
      <c r="T30" s="104">
        <v>3</v>
      </c>
      <c r="U30" s="86">
        <v>3</v>
      </c>
      <c r="V30" s="87">
        <f>+(T30/U30)*25%</f>
        <v>0.25</v>
      </c>
      <c r="W30" s="99"/>
      <c r="X30" s="86">
        <v>3</v>
      </c>
      <c r="Y30" s="87">
        <f>+(W30/X30)*25%</f>
        <v>0</v>
      </c>
      <c r="Z30" s="105"/>
      <c r="AA30" s="86">
        <v>3</v>
      </c>
      <c r="AB30" s="87">
        <f>+(Z30/AA30)*25%</f>
        <v>0</v>
      </c>
      <c r="AC30" s="98"/>
      <c r="AD30" s="86">
        <v>3</v>
      </c>
      <c r="AE30" s="87">
        <f>+(AC30/AD30)*25%</f>
        <v>0</v>
      </c>
      <c r="AF30" s="93">
        <f t="shared" si="1"/>
        <v>0.25</v>
      </c>
      <c r="AG30" s="165"/>
      <c r="AH30" s="95" t="s">
        <v>74</v>
      </c>
      <c r="AI30" s="97" t="s">
        <v>75</v>
      </c>
      <c r="AJ30" s="68" t="s">
        <v>446</v>
      </c>
      <c r="AK30" s="152" t="s">
        <v>538</v>
      </c>
      <c r="AL30" s="96"/>
      <c r="AM30" s="96"/>
      <c r="AN30" s="96"/>
      <c r="AO30" s="96"/>
      <c r="AP30" s="96"/>
      <c r="AQ30" s="96"/>
    </row>
    <row r="31" spans="1:44" s="15" customFormat="1" ht="102" customHeight="1" thickBot="1" x14ac:dyDescent="0.25">
      <c r="A31" s="108">
        <v>21</v>
      </c>
      <c r="B31" s="74" t="s">
        <v>68</v>
      </c>
      <c r="C31" s="74" t="s">
        <v>69</v>
      </c>
      <c r="D31" s="82" t="s">
        <v>244</v>
      </c>
      <c r="E31" s="74" t="s">
        <v>245</v>
      </c>
      <c r="F31" s="74" t="s">
        <v>311</v>
      </c>
      <c r="G31" s="74" t="s">
        <v>332</v>
      </c>
      <c r="H31" s="74" t="s">
        <v>76</v>
      </c>
      <c r="I31" s="74" t="s">
        <v>77</v>
      </c>
      <c r="J31" s="74" t="s">
        <v>78</v>
      </c>
      <c r="K31" s="74" t="s">
        <v>31</v>
      </c>
      <c r="L31" s="74" t="s">
        <v>73</v>
      </c>
      <c r="M31" s="74" t="s">
        <v>33</v>
      </c>
      <c r="N31" s="74" t="s">
        <v>33</v>
      </c>
      <c r="O31" s="83">
        <v>1</v>
      </c>
      <c r="P31" s="84">
        <v>0.25</v>
      </c>
      <c r="Q31" s="74" t="s">
        <v>34</v>
      </c>
      <c r="R31" s="85">
        <v>45292</v>
      </c>
      <c r="S31" s="85">
        <v>45657</v>
      </c>
      <c r="T31" s="104">
        <v>2</v>
      </c>
      <c r="U31" s="86">
        <v>3</v>
      </c>
      <c r="V31" s="87">
        <f>IFERROR((T31/U31)*$P$31,0)</f>
        <v>0.16666666666666666</v>
      </c>
      <c r="W31" s="99"/>
      <c r="X31" s="86"/>
      <c r="Y31" s="87">
        <f>IFERROR((W31/X31)*$P$31,0)</f>
        <v>0</v>
      </c>
      <c r="Z31" s="105"/>
      <c r="AA31" s="86"/>
      <c r="AB31" s="87">
        <f>IFERROR((Z31/AA31)*$P$31,0)</f>
        <v>0</v>
      </c>
      <c r="AC31" s="98"/>
      <c r="AD31" s="86"/>
      <c r="AE31" s="87">
        <f>IFERROR((AC31/AD31)*$P$31,0)</f>
        <v>0</v>
      </c>
      <c r="AF31" s="93">
        <f t="shared" si="1"/>
        <v>0.16666666666666666</v>
      </c>
      <c r="AG31" s="174"/>
      <c r="AH31" s="95" t="s">
        <v>74</v>
      </c>
      <c r="AI31" s="97" t="s">
        <v>75</v>
      </c>
      <c r="AJ31" s="68" t="s">
        <v>539</v>
      </c>
      <c r="AK31" s="152" t="s">
        <v>540</v>
      </c>
      <c r="AL31" s="96"/>
      <c r="AM31" s="96"/>
      <c r="AN31" s="96"/>
      <c r="AO31" s="96"/>
      <c r="AP31" s="96"/>
      <c r="AQ31" s="96"/>
    </row>
    <row r="32" spans="1:44" s="72" customFormat="1" ht="139.5" customHeight="1" thickBot="1" x14ac:dyDescent="0.25">
      <c r="A32" s="108">
        <v>22</v>
      </c>
      <c r="B32" s="74" t="s">
        <v>79</v>
      </c>
      <c r="C32" s="74" t="s">
        <v>80</v>
      </c>
      <c r="D32" s="82" t="s">
        <v>246</v>
      </c>
      <c r="E32" s="74" t="s">
        <v>357</v>
      </c>
      <c r="F32" s="74" t="s">
        <v>358</v>
      </c>
      <c r="G32" s="74" t="s">
        <v>300</v>
      </c>
      <c r="H32" s="74" t="s">
        <v>298</v>
      </c>
      <c r="I32" s="74" t="s">
        <v>299</v>
      </c>
      <c r="J32" s="74" t="s">
        <v>333</v>
      </c>
      <c r="K32" s="74" t="s">
        <v>41</v>
      </c>
      <c r="L32" s="74" t="s">
        <v>73</v>
      </c>
      <c r="M32" s="74" t="s">
        <v>33</v>
      </c>
      <c r="N32" s="74" t="s">
        <v>33</v>
      </c>
      <c r="O32" s="83">
        <v>1</v>
      </c>
      <c r="P32" s="84" t="s">
        <v>320</v>
      </c>
      <c r="Q32" s="74" t="s">
        <v>272</v>
      </c>
      <c r="R32" s="85">
        <v>45292</v>
      </c>
      <c r="S32" s="85">
        <v>45657</v>
      </c>
      <c r="T32" s="104">
        <v>1</v>
      </c>
      <c r="U32" s="86">
        <v>1</v>
      </c>
      <c r="V32" s="87">
        <f>+(T32/U32)*10%</f>
        <v>0.1</v>
      </c>
      <c r="W32" s="99"/>
      <c r="X32" s="86">
        <v>16</v>
      </c>
      <c r="Y32" s="87">
        <f>IFERROR((W32/X32)*30%,0)</f>
        <v>0</v>
      </c>
      <c r="Z32" s="105"/>
      <c r="AA32" s="86">
        <v>37</v>
      </c>
      <c r="AB32" s="87">
        <f>IFERROR((Z32/AA32)*30%,0)</f>
        <v>0</v>
      </c>
      <c r="AC32" s="98"/>
      <c r="AD32" s="86">
        <v>22</v>
      </c>
      <c r="AE32" s="87">
        <f>IFERROR((AC32/AD32)*30%,0)</f>
        <v>0</v>
      </c>
      <c r="AF32" s="93">
        <f t="shared" si="1"/>
        <v>0.1</v>
      </c>
      <c r="AG32" s="162">
        <f>+(AF32+AF34+AF35+AF36)/4</f>
        <v>0.21249999999999999</v>
      </c>
      <c r="AH32" s="95" t="s">
        <v>82</v>
      </c>
      <c r="AI32" s="97" t="s">
        <v>83</v>
      </c>
      <c r="AJ32" s="68" t="s">
        <v>491</v>
      </c>
      <c r="AK32" s="152" t="s">
        <v>541</v>
      </c>
      <c r="AL32" s="96"/>
      <c r="AM32" s="96"/>
      <c r="AN32" s="96"/>
      <c r="AO32" s="96"/>
      <c r="AP32" s="96"/>
      <c r="AQ32" s="96"/>
      <c r="AR32" s="15"/>
    </row>
    <row r="33" spans="1:44" s="72" customFormat="1" ht="129" customHeight="1" thickBot="1" x14ac:dyDescent="0.25">
      <c r="A33" s="108">
        <v>23</v>
      </c>
      <c r="B33" s="74" t="s">
        <v>79</v>
      </c>
      <c r="C33" s="74" t="s">
        <v>80</v>
      </c>
      <c r="D33" s="82" t="s">
        <v>246</v>
      </c>
      <c r="E33" s="74" t="s">
        <v>357</v>
      </c>
      <c r="F33" s="74" t="s">
        <v>358</v>
      </c>
      <c r="G33" s="74" t="s">
        <v>447</v>
      </c>
      <c r="H33" s="74" t="s">
        <v>448</v>
      </c>
      <c r="I33" s="74" t="s">
        <v>449</v>
      </c>
      <c r="J33" s="74" t="s">
        <v>273</v>
      </c>
      <c r="K33" s="74" t="s">
        <v>41</v>
      </c>
      <c r="L33" s="74" t="s">
        <v>73</v>
      </c>
      <c r="M33" s="74" t="s">
        <v>33</v>
      </c>
      <c r="N33" s="74" t="s">
        <v>33</v>
      </c>
      <c r="O33" s="83">
        <v>1</v>
      </c>
      <c r="P33" s="84">
        <v>0.25</v>
      </c>
      <c r="Q33" s="74" t="s">
        <v>272</v>
      </c>
      <c r="R33" s="85">
        <v>45292</v>
      </c>
      <c r="S33" s="85">
        <v>45657</v>
      </c>
      <c r="T33" s="104">
        <v>28</v>
      </c>
      <c r="U33" s="86">
        <v>28</v>
      </c>
      <c r="V33" s="87">
        <f>IFERROR((T33/U33)*25%,0)</f>
        <v>0.25</v>
      </c>
      <c r="W33" s="99"/>
      <c r="X33" s="86"/>
      <c r="Y33" s="87">
        <f>IFERROR((W33/X33)*25%,0)</f>
        <v>0</v>
      </c>
      <c r="Z33" s="105"/>
      <c r="AA33" s="86"/>
      <c r="AB33" s="87">
        <f>IFERROR((Z33/AA33)*25%,0)</f>
        <v>0</v>
      </c>
      <c r="AC33" s="98"/>
      <c r="AD33" s="86"/>
      <c r="AE33" s="87">
        <f>IFERROR((AC33/AD33)*25%,0)</f>
        <v>0</v>
      </c>
      <c r="AF33" s="93">
        <f t="shared" si="1"/>
        <v>0.25</v>
      </c>
      <c r="AG33" s="164"/>
      <c r="AH33" s="95" t="s">
        <v>82</v>
      </c>
      <c r="AI33" s="97" t="s">
        <v>83</v>
      </c>
      <c r="AJ33" s="68" t="s">
        <v>492</v>
      </c>
      <c r="AK33" s="152" t="s">
        <v>542</v>
      </c>
      <c r="AL33" s="96"/>
      <c r="AM33" s="96"/>
      <c r="AN33" s="96"/>
      <c r="AO33" s="96"/>
      <c r="AP33" s="96"/>
      <c r="AQ33" s="96"/>
      <c r="AR33" s="15"/>
    </row>
    <row r="34" spans="1:44" s="72" customFormat="1" ht="140.25" customHeight="1" thickBot="1" x14ac:dyDescent="0.25">
      <c r="A34" s="108">
        <v>24</v>
      </c>
      <c r="B34" s="74" t="s">
        <v>79</v>
      </c>
      <c r="C34" s="74" t="s">
        <v>80</v>
      </c>
      <c r="D34" s="82" t="s">
        <v>246</v>
      </c>
      <c r="E34" s="74" t="s">
        <v>357</v>
      </c>
      <c r="F34" s="74" t="s">
        <v>364</v>
      </c>
      <c r="G34" s="74" t="s">
        <v>432</v>
      </c>
      <c r="H34" s="74" t="s">
        <v>342</v>
      </c>
      <c r="I34" s="74" t="s">
        <v>433</v>
      </c>
      <c r="J34" s="74" t="s">
        <v>274</v>
      </c>
      <c r="K34" s="74" t="s">
        <v>41</v>
      </c>
      <c r="L34" s="74" t="s">
        <v>73</v>
      </c>
      <c r="M34" s="74" t="s">
        <v>33</v>
      </c>
      <c r="N34" s="74" t="s">
        <v>33</v>
      </c>
      <c r="O34" s="83">
        <v>1</v>
      </c>
      <c r="P34" s="84">
        <v>0.25</v>
      </c>
      <c r="Q34" s="74" t="s">
        <v>125</v>
      </c>
      <c r="R34" s="85">
        <v>45292</v>
      </c>
      <c r="S34" s="85">
        <v>45657</v>
      </c>
      <c r="T34" s="104">
        <v>1</v>
      </c>
      <c r="U34" s="86">
        <v>1</v>
      </c>
      <c r="V34" s="87">
        <f>IFERROR((T34/U34)*25%,0)</f>
        <v>0.25</v>
      </c>
      <c r="W34" s="99"/>
      <c r="X34" s="86">
        <v>1</v>
      </c>
      <c r="Y34" s="87">
        <f>IFERROR((W34/X34)*25%,0)</f>
        <v>0</v>
      </c>
      <c r="Z34" s="105"/>
      <c r="AA34" s="86">
        <v>1</v>
      </c>
      <c r="AB34" s="87">
        <f>IFERROR((Z34/AA34)*25%,0)</f>
        <v>0</v>
      </c>
      <c r="AC34" s="98"/>
      <c r="AD34" s="86">
        <v>1</v>
      </c>
      <c r="AE34" s="87">
        <f>IFERROR((AC34/AD34)*25%,0)</f>
        <v>0</v>
      </c>
      <c r="AF34" s="93">
        <f t="shared" si="1"/>
        <v>0.25</v>
      </c>
      <c r="AG34" s="173"/>
      <c r="AH34" s="95" t="s">
        <v>82</v>
      </c>
      <c r="AI34" s="97" t="s">
        <v>83</v>
      </c>
      <c r="AJ34" s="68" t="s">
        <v>493</v>
      </c>
      <c r="AK34" s="152" t="s">
        <v>543</v>
      </c>
      <c r="AL34" s="96"/>
      <c r="AM34" s="96"/>
      <c r="AN34" s="96"/>
      <c r="AO34" s="96"/>
      <c r="AP34" s="96"/>
      <c r="AQ34" s="96"/>
      <c r="AR34" s="15"/>
    </row>
    <row r="35" spans="1:44" s="72" customFormat="1" ht="175.5" customHeight="1" thickBot="1" x14ac:dyDescent="0.25">
      <c r="A35" s="108">
        <v>25</v>
      </c>
      <c r="B35" s="74" t="s">
        <v>79</v>
      </c>
      <c r="C35" s="74" t="s">
        <v>80</v>
      </c>
      <c r="D35" s="82" t="s">
        <v>246</v>
      </c>
      <c r="E35" s="74" t="s">
        <v>357</v>
      </c>
      <c r="F35" s="74" t="s">
        <v>363</v>
      </c>
      <c r="G35" s="74" t="s">
        <v>334</v>
      </c>
      <c r="H35" s="74" t="s">
        <v>84</v>
      </c>
      <c r="I35" s="74" t="s">
        <v>335</v>
      </c>
      <c r="J35" s="74" t="s">
        <v>343</v>
      </c>
      <c r="K35" s="74" t="s">
        <v>41</v>
      </c>
      <c r="L35" s="74" t="s">
        <v>73</v>
      </c>
      <c r="M35" s="74" t="s">
        <v>33</v>
      </c>
      <c r="N35" s="74" t="s">
        <v>33</v>
      </c>
      <c r="O35" s="83">
        <v>0.95</v>
      </c>
      <c r="P35" s="84">
        <v>0.25</v>
      </c>
      <c r="Q35" s="74" t="s">
        <v>34</v>
      </c>
      <c r="R35" s="85">
        <v>45292</v>
      </c>
      <c r="S35" s="85">
        <v>45657</v>
      </c>
      <c r="T35" s="104">
        <v>5</v>
      </c>
      <c r="U35" s="86">
        <v>5</v>
      </c>
      <c r="V35" s="87">
        <f>IFERROR((T35/U35)*25%,0)</f>
        <v>0.25</v>
      </c>
      <c r="W35" s="99"/>
      <c r="X35" s="86"/>
      <c r="Y35" s="87">
        <f>IFERROR((W35/X35)*25%,0)</f>
        <v>0</v>
      </c>
      <c r="Z35" s="105"/>
      <c r="AA35" s="86"/>
      <c r="AB35" s="87">
        <f>IFERROR((Z35/AA35)*25%,0)</f>
        <v>0</v>
      </c>
      <c r="AC35" s="98"/>
      <c r="AD35" s="86"/>
      <c r="AE35" s="87">
        <f>IFERROR((AC35/AD35)*25%,0)</f>
        <v>0</v>
      </c>
      <c r="AF35" s="93">
        <f t="shared" si="1"/>
        <v>0.25</v>
      </c>
      <c r="AG35" s="173"/>
      <c r="AH35" s="95" t="s">
        <v>82</v>
      </c>
      <c r="AI35" s="97" t="s">
        <v>83</v>
      </c>
      <c r="AJ35" s="68" t="s">
        <v>494</v>
      </c>
      <c r="AK35" s="152" t="s">
        <v>544</v>
      </c>
      <c r="AL35" s="96"/>
      <c r="AM35" s="96"/>
      <c r="AN35" s="96"/>
      <c r="AO35" s="96"/>
      <c r="AP35" s="96"/>
      <c r="AQ35" s="96"/>
      <c r="AR35" s="15"/>
    </row>
    <row r="36" spans="1:44" s="15" customFormat="1" ht="188.25" customHeight="1" thickBot="1" x14ac:dyDescent="0.25">
      <c r="A36" s="108">
        <v>26</v>
      </c>
      <c r="B36" s="74" t="s">
        <v>79</v>
      </c>
      <c r="C36" s="74" t="s">
        <v>80</v>
      </c>
      <c r="D36" s="82" t="s">
        <v>246</v>
      </c>
      <c r="E36" s="74" t="s">
        <v>450</v>
      </c>
      <c r="F36" s="74" t="s">
        <v>247</v>
      </c>
      <c r="G36" s="74" t="s">
        <v>336</v>
      </c>
      <c r="H36" s="74" t="s">
        <v>85</v>
      </c>
      <c r="I36" s="74" t="s">
        <v>337</v>
      </c>
      <c r="J36" s="74" t="s">
        <v>434</v>
      </c>
      <c r="K36" s="74" t="s">
        <v>41</v>
      </c>
      <c r="L36" s="74" t="s">
        <v>73</v>
      </c>
      <c r="M36" s="74" t="s">
        <v>33</v>
      </c>
      <c r="N36" s="74" t="s">
        <v>33</v>
      </c>
      <c r="O36" s="83">
        <v>0.95</v>
      </c>
      <c r="P36" s="84">
        <v>0.25</v>
      </c>
      <c r="Q36" s="74" t="s">
        <v>34</v>
      </c>
      <c r="R36" s="85">
        <v>45292</v>
      </c>
      <c r="S36" s="85">
        <v>45657</v>
      </c>
      <c r="T36" s="104">
        <v>3</v>
      </c>
      <c r="U36" s="86">
        <v>3</v>
      </c>
      <c r="V36" s="87">
        <f>IFERROR((T36/U36)*25%,0)</f>
        <v>0.25</v>
      </c>
      <c r="W36" s="99"/>
      <c r="X36" s="86"/>
      <c r="Y36" s="87">
        <f>IFERROR((W36/X36)*25%,0)</f>
        <v>0</v>
      </c>
      <c r="Z36" s="105"/>
      <c r="AA36" s="86"/>
      <c r="AB36" s="87">
        <f>IFERROR((Z36/AA36)*25%,0)</f>
        <v>0</v>
      </c>
      <c r="AC36" s="98"/>
      <c r="AD36" s="86"/>
      <c r="AE36" s="87">
        <f>IFERROR((AC36/AD36)*25%,0)</f>
        <v>0</v>
      </c>
      <c r="AF36" s="93">
        <f t="shared" si="1"/>
        <v>0.25</v>
      </c>
      <c r="AG36" s="163"/>
      <c r="AH36" s="95" t="s">
        <v>82</v>
      </c>
      <c r="AI36" s="97" t="s">
        <v>83</v>
      </c>
      <c r="AJ36" s="68" t="s">
        <v>495</v>
      </c>
      <c r="AK36" s="152" t="s">
        <v>545</v>
      </c>
      <c r="AL36" s="96"/>
      <c r="AM36" s="96"/>
      <c r="AN36" s="96"/>
      <c r="AO36" s="96"/>
      <c r="AP36" s="96"/>
      <c r="AQ36" s="96"/>
    </row>
    <row r="37" spans="1:44" s="15" customFormat="1" ht="108" customHeight="1" thickBot="1" x14ac:dyDescent="0.25">
      <c r="A37" s="108">
        <v>27</v>
      </c>
      <c r="B37" s="74" t="s">
        <v>86</v>
      </c>
      <c r="C37" s="74" t="s">
        <v>87</v>
      </c>
      <c r="D37" s="82" t="s">
        <v>248</v>
      </c>
      <c r="E37" s="74" t="s">
        <v>359</v>
      </c>
      <c r="F37" s="74" t="s">
        <v>344</v>
      </c>
      <c r="G37" s="74" t="s">
        <v>345</v>
      </c>
      <c r="H37" s="74" t="s">
        <v>217</v>
      </c>
      <c r="I37" s="74" t="s">
        <v>346</v>
      </c>
      <c r="J37" s="74" t="s">
        <v>88</v>
      </c>
      <c r="K37" s="74" t="s">
        <v>41</v>
      </c>
      <c r="L37" s="74" t="s">
        <v>73</v>
      </c>
      <c r="M37" s="74" t="s">
        <v>197</v>
      </c>
      <c r="N37" s="74" t="s">
        <v>89</v>
      </c>
      <c r="O37" s="83">
        <v>0.9</v>
      </c>
      <c r="P37" s="84">
        <v>0.25</v>
      </c>
      <c r="Q37" s="74" t="s">
        <v>34</v>
      </c>
      <c r="R37" s="85">
        <v>45292</v>
      </c>
      <c r="S37" s="85">
        <v>45657</v>
      </c>
      <c r="T37" s="104" t="s">
        <v>460</v>
      </c>
      <c r="U37" s="104" t="s">
        <v>460</v>
      </c>
      <c r="V37" s="87" t="s">
        <v>33</v>
      </c>
      <c r="W37" s="99"/>
      <c r="X37" s="86">
        <v>3</v>
      </c>
      <c r="Y37" s="87">
        <f>IFERROR((W37/X37)*(1/3),0)</f>
        <v>0</v>
      </c>
      <c r="Z37" s="105"/>
      <c r="AA37" s="86">
        <v>3</v>
      </c>
      <c r="AB37" s="87">
        <f>IFERROR((Z37/AA37)*(1/3),0)</f>
        <v>0</v>
      </c>
      <c r="AC37" s="98"/>
      <c r="AD37" s="86">
        <v>4</v>
      </c>
      <c r="AE37" s="87">
        <f>IFERROR((AC37/AD37)*(1/3),0)</f>
        <v>0</v>
      </c>
      <c r="AF37" s="93">
        <f>+Y37+AB37+AE37</f>
        <v>0</v>
      </c>
      <c r="AG37" s="162">
        <f>+(AF37+AF38+AF39+AF40+AF41+AF42)/6</f>
        <v>8.3333333333333329E-2</v>
      </c>
      <c r="AH37" s="95" t="s">
        <v>90</v>
      </c>
      <c r="AI37" s="97" t="s">
        <v>91</v>
      </c>
      <c r="AJ37" s="68" t="s">
        <v>496</v>
      </c>
      <c r="AK37" s="152"/>
      <c r="AL37" s="96"/>
      <c r="AM37" s="96"/>
      <c r="AN37" s="96"/>
      <c r="AO37" s="96"/>
      <c r="AP37" s="96"/>
      <c r="AQ37" s="96"/>
    </row>
    <row r="38" spans="1:44" s="15" customFormat="1" ht="126.75" customHeight="1" thickBot="1" x14ac:dyDescent="0.25">
      <c r="A38" s="108">
        <v>28</v>
      </c>
      <c r="B38" s="74" t="s">
        <v>86</v>
      </c>
      <c r="C38" s="74" t="s">
        <v>87</v>
      </c>
      <c r="D38" s="82" t="s">
        <v>248</v>
      </c>
      <c r="E38" s="74" t="s">
        <v>360</v>
      </c>
      <c r="F38" s="74" t="s">
        <v>249</v>
      </c>
      <c r="G38" s="74" t="s">
        <v>347</v>
      </c>
      <c r="H38" s="74" t="s">
        <v>193</v>
      </c>
      <c r="I38" s="74" t="s">
        <v>348</v>
      </c>
      <c r="J38" s="74" t="s">
        <v>295</v>
      </c>
      <c r="K38" s="74" t="s">
        <v>41</v>
      </c>
      <c r="L38" s="74" t="s">
        <v>73</v>
      </c>
      <c r="M38" s="74">
        <v>2</v>
      </c>
      <c r="N38" s="74" t="s">
        <v>89</v>
      </c>
      <c r="O38" s="83">
        <v>2</v>
      </c>
      <c r="P38" s="84">
        <v>0.5</v>
      </c>
      <c r="Q38" s="74" t="s">
        <v>81</v>
      </c>
      <c r="R38" s="85">
        <v>45292</v>
      </c>
      <c r="S38" s="85">
        <v>45657</v>
      </c>
      <c r="T38" s="104" t="s">
        <v>460</v>
      </c>
      <c r="U38" s="86" t="s">
        <v>460</v>
      </c>
      <c r="V38" s="87" t="s">
        <v>197</v>
      </c>
      <c r="W38" s="99"/>
      <c r="X38" s="86">
        <v>1</v>
      </c>
      <c r="Y38" s="87">
        <f>+(W38/X38)*$P$38</f>
        <v>0</v>
      </c>
      <c r="Z38" s="104" t="s">
        <v>460</v>
      </c>
      <c r="AA38" s="86" t="s">
        <v>460</v>
      </c>
      <c r="AB38" s="87" t="s">
        <v>197</v>
      </c>
      <c r="AC38" s="98"/>
      <c r="AD38" s="86">
        <v>1</v>
      </c>
      <c r="AE38" s="87">
        <f>+(AC38/AD38)*$P$38</f>
        <v>0</v>
      </c>
      <c r="AF38" s="93">
        <f>+Y38+AE38</f>
        <v>0</v>
      </c>
      <c r="AG38" s="175"/>
      <c r="AH38" s="95" t="s">
        <v>90</v>
      </c>
      <c r="AI38" s="97" t="s">
        <v>91</v>
      </c>
      <c r="AJ38" s="68" t="s">
        <v>497</v>
      </c>
      <c r="AK38" s="152" t="s">
        <v>498</v>
      </c>
      <c r="AL38" s="96"/>
      <c r="AM38" s="96"/>
      <c r="AN38" s="96"/>
      <c r="AO38" s="96"/>
      <c r="AP38" s="96"/>
      <c r="AQ38" s="96"/>
    </row>
    <row r="39" spans="1:44" s="15" customFormat="1" ht="132" customHeight="1" thickBot="1" x14ac:dyDescent="0.25">
      <c r="A39" s="108">
        <v>29</v>
      </c>
      <c r="B39" s="74" t="s">
        <v>86</v>
      </c>
      <c r="C39" s="74" t="s">
        <v>87</v>
      </c>
      <c r="D39" s="82" t="s">
        <v>248</v>
      </c>
      <c r="E39" s="74" t="s">
        <v>359</v>
      </c>
      <c r="F39" s="74" t="s">
        <v>344</v>
      </c>
      <c r="G39" s="74" t="s">
        <v>297</v>
      </c>
      <c r="H39" s="74" t="s">
        <v>296</v>
      </c>
      <c r="I39" s="74" t="s">
        <v>349</v>
      </c>
      <c r="J39" s="74" t="s">
        <v>282</v>
      </c>
      <c r="K39" s="74" t="s">
        <v>41</v>
      </c>
      <c r="L39" s="74" t="s">
        <v>73</v>
      </c>
      <c r="M39" s="74">
        <v>1</v>
      </c>
      <c r="N39" s="74" t="s">
        <v>92</v>
      </c>
      <c r="O39" s="83">
        <v>15</v>
      </c>
      <c r="P39" s="84">
        <v>0.25</v>
      </c>
      <c r="Q39" s="74" t="s">
        <v>34</v>
      </c>
      <c r="R39" s="85">
        <v>45292</v>
      </c>
      <c r="S39" s="85">
        <v>45657</v>
      </c>
      <c r="T39" s="104">
        <v>3</v>
      </c>
      <c r="U39" s="86">
        <v>3</v>
      </c>
      <c r="V39" s="87">
        <f>IFERROR((T39/U39)*$P$39,0)</f>
        <v>0.25</v>
      </c>
      <c r="W39" s="99"/>
      <c r="X39" s="86">
        <v>3</v>
      </c>
      <c r="Y39" s="87">
        <f>IFERROR((W39/X39)*$P$39,0)</f>
        <v>0</v>
      </c>
      <c r="Z39" s="105"/>
      <c r="AA39" s="86">
        <v>3</v>
      </c>
      <c r="AB39" s="87">
        <f>IFERROR((Z39/AA39)*$P$39,0)</f>
        <v>0</v>
      </c>
      <c r="AC39" s="98"/>
      <c r="AD39" s="86">
        <v>3</v>
      </c>
      <c r="AE39" s="87">
        <f>IFERROR((AC39/AD39)*$P$39,0)</f>
        <v>0</v>
      </c>
      <c r="AF39" s="93">
        <f t="shared" si="1"/>
        <v>0.25</v>
      </c>
      <c r="AG39" s="175"/>
      <c r="AH39" s="95" t="s">
        <v>90</v>
      </c>
      <c r="AI39" s="97" t="s">
        <v>91</v>
      </c>
      <c r="AJ39" s="68" t="s">
        <v>546</v>
      </c>
      <c r="AK39" s="152" t="s">
        <v>547</v>
      </c>
      <c r="AL39" s="96"/>
      <c r="AM39" s="96"/>
      <c r="AN39" s="96"/>
      <c r="AO39" s="96"/>
      <c r="AP39" s="96"/>
      <c r="AQ39" s="96"/>
    </row>
    <row r="40" spans="1:44" s="15" customFormat="1" ht="95.25" customHeight="1" thickBot="1" x14ac:dyDescent="0.25">
      <c r="A40" s="108">
        <v>30</v>
      </c>
      <c r="B40" s="74" t="s">
        <v>86</v>
      </c>
      <c r="C40" s="74" t="s">
        <v>87</v>
      </c>
      <c r="D40" s="82" t="s">
        <v>248</v>
      </c>
      <c r="E40" s="74" t="s">
        <v>359</v>
      </c>
      <c r="F40" s="74" t="s">
        <v>350</v>
      </c>
      <c r="G40" s="74" t="s">
        <v>351</v>
      </c>
      <c r="H40" s="74" t="s">
        <v>93</v>
      </c>
      <c r="I40" s="74" t="s">
        <v>352</v>
      </c>
      <c r="J40" s="74" t="s">
        <v>94</v>
      </c>
      <c r="K40" s="74" t="s">
        <v>41</v>
      </c>
      <c r="L40" s="74" t="s">
        <v>73</v>
      </c>
      <c r="M40" s="74">
        <v>1</v>
      </c>
      <c r="N40" s="74" t="s">
        <v>95</v>
      </c>
      <c r="O40" s="83">
        <v>2</v>
      </c>
      <c r="P40" s="84">
        <v>0.5</v>
      </c>
      <c r="Q40" s="74" t="s">
        <v>81</v>
      </c>
      <c r="R40" s="85">
        <v>45292</v>
      </c>
      <c r="S40" s="85">
        <v>45657</v>
      </c>
      <c r="T40" s="104"/>
      <c r="U40" s="86"/>
      <c r="V40" s="87" t="s">
        <v>33</v>
      </c>
      <c r="W40" s="99"/>
      <c r="X40" s="86">
        <v>1</v>
      </c>
      <c r="Y40" s="87">
        <f>+(W40/X40)*$P$40</f>
        <v>0</v>
      </c>
      <c r="Z40" s="105"/>
      <c r="AA40" s="86"/>
      <c r="AB40" s="87" t="s">
        <v>33</v>
      </c>
      <c r="AC40" s="98"/>
      <c r="AD40" s="86">
        <v>1</v>
      </c>
      <c r="AE40" s="87">
        <f>+(AC40/AD40)*$P$40</f>
        <v>0</v>
      </c>
      <c r="AF40" s="93">
        <f>Y40+AE40</f>
        <v>0</v>
      </c>
      <c r="AG40" s="175"/>
      <c r="AH40" s="95" t="s">
        <v>90</v>
      </c>
      <c r="AI40" s="97" t="s">
        <v>91</v>
      </c>
      <c r="AJ40" s="68" t="s">
        <v>499</v>
      </c>
      <c r="AK40" s="152" t="s">
        <v>548</v>
      </c>
      <c r="AL40" s="96"/>
      <c r="AM40" s="96"/>
      <c r="AN40" s="96"/>
      <c r="AO40" s="96"/>
      <c r="AP40" s="96"/>
      <c r="AQ40" s="96"/>
    </row>
    <row r="41" spans="1:44" s="15" customFormat="1" ht="106.5" customHeight="1" thickBot="1" x14ac:dyDescent="0.25">
      <c r="A41" s="108">
        <v>31</v>
      </c>
      <c r="B41" s="74" t="s">
        <v>86</v>
      </c>
      <c r="C41" s="74" t="s">
        <v>87</v>
      </c>
      <c r="D41" s="82" t="s">
        <v>248</v>
      </c>
      <c r="E41" s="74" t="s">
        <v>359</v>
      </c>
      <c r="F41" s="74" t="s">
        <v>350</v>
      </c>
      <c r="G41" s="74" t="s">
        <v>96</v>
      </c>
      <c r="H41" s="74" t="s">
        <v>259</v>
      </c>
      <c r="I41" s="74" t="s">
        <v>353</v>
      </c>
      <c r="J41" s="74" t="s">
        <v>283</v>
      </c>
      <c r="K41" s="74" t="s">
        <v>41</v>
      </c>
      <c r="L41" s="74" t="s">
        <v>73</v>
      </c>
      <c r="M41" s="74">
        <v>3</v>
      </c>
      <c r="N41" s="74" t="s">
        <v>97</v>
      </c>
      <c r="O41" s="83">
        <v>3</v>
      </c>
      <c r="P41" s="84">
        <v>0.25</v>
      </c>
      <c r="Q41" s="74" t="s">
        <v>34</v>
      </c>
      <c r="R41" s="85">
        <v>45292</v>
      </c>
      <c r="S41" s="85">
        <v>45657</v>
      </c>
      <c r="T41" s="104">
        <v>3</v>
      </c>
      <c r="U41" s="86">
        <v>3</v>
      </c>
      <c r="V41" s="87">
        <f>IFERROR((T41/U41)*$P$41,0)</f>
        <v>0.25</v>
      </c>
      <c r="W41" s="99"/>
      <c r="X41" s="86">
        <v>3</v>
      </c>
      <c r="Y41" s="87">
        <f>IFERROR((W41/X41)*$P$41,0)</f>
        <v>0</v>
      </c>
      <c r="Z41" s="105"/>
      <c r="AA41" s="86">
        <v>3</v>
      </c>
      <c r="AB41" s="87">
        <f>IFERROR((Z41/AA41)*$P$41,0)</f>
        <v>0</v>
      </c>
      <c r="AC41" s="98"/>
      <c r="AD41" s="86">
        <v>3</v>
      </c>
      <c r="AE41" s="87">
        <f>IFERROR((AC41/AD41)*$P$41,0)</f>
        <v>0</v>
      </c>
      <c r="AF41" s="93">
        <f t="shared" si="1"/>
        <v>0.25</v>
      </c>
      <c r="AG41" s="175"/>
      <c r="AH41" s="95" t="s">
        <v>90</v>
      </c>
      <c r="AI41" s="97" t="s">
        <v>91</v>
      </c>
      <c r="AJ41" s="68" t="s">
        <v>549</v>
      </c>
      <c r="AK41" s="152" t="s">
        <v>550</v>
      </c>
      <c r="AL41" s="96"/>
      <c r="AM41" s="96"/>
      <c r="AN41" s="96"/>
      <c r="AO41" s="96"/>
      <c r="AP41" s="96"/>
      <c r="AQ41" s="96"/>
    </row>
    <row r="42" spans="1:44" s="15" customFormat="1" ht="99.75" customHeight="1" thickBot="1" x14ac:dyDescent="0.25">
      <c r="A42" s="108">
        <v>32</v>
      </c>
      <c r="B42" s="74" t="s">
        <v>86</v>
      </c>
      <c r="C42" s="74" t="s">
        <v>87</v>
      </c>
      <c r="D42" s="82" t="s">
        <v>248</v>
      </c>
      <c r="E42" s="74" t="s">
        <v>359</v>
      </c>
      <c r="F42" s="74" t="s">
        <v>344</v>
      </c>
      <c r="G42" s="74" t="s">
        <v>190</v>
      </c>
      <c r="H42" s="74" t="s">
        <v>354</v>
      </c>
      <c r="I42" s="74" t="s">
        <v>355</v>
      </c>
      <c r="J42" s="74" t="s">
        <v>356</v>
      </c>
      <c r="K42" s="74" t="s">
        <v>41</v>
      </c>
      <c r="L42" s="74" t="s">
        <v>73</v>
      </c>
      <c r="M42" s="74" t="s">
        <v>33</v>
      </c>
      <c r="N42" s="74" t="s">
        <v>89</v>
      </c>
      <c r="O42" s="126" t="s">
        <v>465</v>
      </c>
      <c r="P42" s="84">
        <v>0.25</v>
      </c>
      <c r="Q42" s="74" t="s">
        <v>34</v>
      </c>
      <c r="R42" s="85">
        <v>45292</v>
      </c>
      <c r="S42" s="85">
        <v>45657</v>
      </c>
      <c r="T42" s="104"/>
      <c r="U42" s="127">
        <v>0</v>
      </c>
      <c r="V42" s="87">
        <f>IFERROR((T42/U42)*$P$42,0)</f>
        <v>0</v>
      </c>
      <c r="W42" s="99"/>
      <c r="X42" s="127">
        <v>0</v>
      </c>
      <c r="Y42" s="87">
        <f>IFERROR((W42/X42)*$P$42,0)</f>
        <v>0</v>
      </c>
      <c r="Z42" s="105"/>
      <c r="AA42" s="127">
        <v>0</v>
      </c>
      <c r="AB42" s="87">
        <f>IFERROR((Z42/AA42)*$P$42,0)</f>
        <v>0</v>
      </c>
      <c r="AC42" s="98"/>
      <c r="AD42" s="127">
        <v>0</v>
      </c>
      <c r="AE42" s="87">
        <f>IFERROR((AC42/AD42)*$P$42,0)</f>
        <v>0</v>
      </c>
      <c r="AF42" s="93">
        <f t="shared" si="1"/>
        <v>0</v>
      </c>
      <c r="AG42" s="176"/>
      <c r="AH42" s="95" t="s">
        <v>90</v>
      </c>
      <c r="AI42" s="97" t="s">
        <v>91</v>
      </c>
      <c r="AJ42" s="68" t="s">
        <v>500</v>
      </c>
      <c r="AK42" s="152" t="s">
        <v>578</v>
      </c>
      <c r="AL42" s="96"/>
      <c r="AM42" s="96"/>
      <c r="AN42" s="96"/>
      <c r="AO42" s="96"/>
      <c r="AP42" s="96"/>
      <c r="AQ42" s="96"/>
    </row>
    <row r="43" spans="1:44" s="72" customFormat="1" ht="121.5" customHeight="1" thickBot="1" x14ac:dyDescent="0.25">
      <c r="A43" s="108">
        <v>33</v>
      </c>
      <c r="B43" s="74" t="s">
        <v>86</v>
      </c>
      <c r="C43" s="74" t="s">
        <v>98</v>
      </c>
      <c r="D43" s="82" t="s">
        <v>250</v>
      </c>
      <c r="E43" s="74" t="s">
        <v>361</v>
      </c>
      <c r="F43" s="74" t="s">
        <v>368</v>
      </c>
      <c r="G43" s="74" t="s">
        <v>176</v>
      </c>
      <c r="H43" s="74" t="s">
        <v>365</v>
      </c>
      <c r="I43" s="74" t="s">
        <v>99</v>
      </c>
      <c r="J43" s="74" t="s">
        <v>294</v>
      </c>
      <c r="K43" s="74" t="s">
        <v>41</v>
      </c>
      <c r="L43" s="74" t="s">
        <v>32</v>
      </c>
      <c r="M43" s="74">
        <v>10</v>
      </c>
      <c r="N43" s="74" t="s">
        <v>100</v>
      </c>
      <c r="O43" s="126">
        <v>11</v>
      </c>
      <c r="P43" s="84" t="s">
        <v>320</v>
      </c>
      <c r="Q43" s="74" t="s">
        <v>34</v>
      </c>
      <c r="R43" s="85">
        <v>45292</v>
      </c>
      <c r="S43" s="85">
        <v>45657</v>
      </c>
      <c r="T43" s="104">
        <v>0</v>
      </c>
      <c r="U43" s="86">
        <v>0</v>
      </c>
      <c r="V43" s="87">
        <v>0</v>
      </c>
      <c r="W43" s="99"/>
      <c r="X43" s="127">
        <v>3</v>
      </c>
      <c r="Y43" s="87">
        <f>+(W43/X43)*(W43/$O$43)</f>
        <v>0</v>
      </c>
      <c r="Z43" s="105"/>
      <c r="AA43" s="127">
        <v>3</v>
      </c>
      <c r="AB43" s="87">
        <f>+(Z43/AA43)*(Z43/$O$43)</f>
        <v>0</v>
      </c>
      <c r="AC43" s="98"/>
      <c r="AD43" s="127">
        <v>2</v>
      </c>
      <c r="AE43" s="87">
        <f>+(AC43/AD43)*(AC43/$O$43)</f>
        <v>0</v>
      </c>
      <c r="AF43" s="93">
        <f>IF((V43+Y43+AB43+AE43)&gt;100%,100%,(V43+Y43+AB43+AE43))</f>
        <v>0</v>
      </c>
      <c r="AG43" s="167">
        <f>+(AF43+AF44+AF45+AF46+AF47+AF48+AF50)/7</f>
        <v>0.13617131062951496</v>
      </c>
      <c r="AH43" s="95" t="s">
        <v>101</v>
      </c>
      <c r="AI43" s="97" t="s">
        <v>452</v>
      </c>
      <c r="AJ43" s="68" t="s">
        <v>501</v>
      </c>
      <c r="AK43" s="152" t="s">
        <v>502</v>
      </c>
      <c r="AL43" s="96"/>
      <c r="AM43" s="96"/>
      <c r="AN43" s="96"/>
      <c r="AO43" s="96"/>
      <c r="AP43" s="96"/>
      <c r="AQ43" s="96"/>
      <c r="AR43" s="15"/>
    </row>
    <row r="44" spans="1:44" s="72" customFormat="1" ht="136.5" customHeight="1" thickBot="1" x14ac:dyDescent="0.25">
      <c r="A44" s="108">
        <v>34</v>
      </c>
      <c r="B44" s="74" t="s">
        <v>86</v>
      </c>
      <c r="C44" s="74" t="s">
        <v>98</v>
      </c>
      <c r="D44" s="82" t="s">
        <v>250</v>
      </c>
      <c r="E44" s="74" t="s">
        <v>361</v>
      </c>
      <c r="F44" s="74" t="s">
        <v>368</v>
      </c>
      <c r="G44" s="74" t="s">
        <v>102</v>
      </c>
      <c r="H44" s="74" t="s">
        <v>103</v>
      </c>
      <c r="I44" s="74" t="s">
        <v>179</v>
      </c>
      <c r="J44" s="74" t="s">
        <v>148</v>
      </c>
      <c r="K44" s="74" t="s">
        <v>31</v>
      </c>
      <c r="L44" s="74" t="s">
        <v>73</v>
      </c>
      <c r="M44" s="74">
        <v>0.9</v>
      </c>
      <c r="N44" s="74" t="s">
        <v>33</v>
      </c>
      <c r="O44" s="126">
        <v>57</v>
      </c>
      <c r="P44" s="84" t="s">
        <v>320</v>
      </c>
      <c r="Q44" s="74" t="s">
        <v>34</v>
      </c>
      <c r="R44" s="85">
        <v>45292</v>
      </c>
      <c r="S44" s="85">
        <v>45657</v>
      </c>
      <c r="T44" s="104">
        <v>4</v>
      </c>
      <c r="U44" s="86">
        <v>5</v>
      </c>
      <c r="V44" s="87">
        <f>+IFERROR((T44/U44)*(T44/$O$44),0)</f>
        <v>5.6140350877192984E-2</v>
      </c>
      <c r="W44" s="99"/>
      <c r="X44" s="127"/>
      <c r="Y44" s="87">
        <f>+IFERROR((W44/X44)*(W44/$O$44),0)</f>
        <v>0</v>
      </c>
      <c r="Z44" s="105"/>
      <c r="AA44" s="127"/>
      <c r="AB44" s="87">
        <f>+IFERROR((Z44/AA44)*(Z44/$O$44),0)</f>
        <v>0</v>
      </c>
      <c r="AC44" s="98"/>
      <c r="AD44" s="127"/>
      <c r="AE44" s="87">
        <f>+IFERROR((AC44/AD44)*(AC44/$O$44),0)</f>
        <v>0</v>
      </c>
      <c r="AF44" s="93">
        <f t="shared" ref="AF44:AF65" si="2">+V44+Y44+AB44+AE44</f>
        <v>5.6140350877192984E-2</v>
      </c>
      <c r="AG44" s="168"/>
      <c r="AH44" s="95" t="s">
        <v>104</v>
      </c>
      <c r="AI44" s="97" t="s">
        <v>452</v>
      </c>
      <c r="AJ44" s="68" t="s">
        <v>503</v>
      </c>
      <c r="AK44" s="152" t="s">
        <v>504</v>
      </c>
      <c r="AL44" s="96"/>
      <c r="AM44" s="96"/>
      <c r="AN44" s="96"/>
      <c r="AO44" s="96"/>
      <c r="AP44" s="96"/>
      <c r="AQ44" s="96"/>
      <c r="AR44" s="15"/>
    </row>
    <row r="45" spans="1:44" s="72" customFormat="1" ht="152.25" customHeight="1" thickBot="1" x14ac:dyDescent="0.25">
      <c r="A45" s="108">
        <v>35</v>
      </c>
      <c r="B45" s="74" t="s">
        <v>366</v>
      </c>
      <c r="C45" s="74" t="s">
        <v>251</v>
      </c>
      <c r="D45" s="82" t="s">
        <v>250</v>
      </c>
      <c r="E45" s="74" t="s">
        <v>367</v>
      </c>
      <c r="F45" s="74" t="s">
        <v>368</v>
      </c>
      <c r="G45" s="74" t="s">
        <v>369</v>
      </c>
      <c r="H45" s="74" t="s">
        <v>105</v>
      </c>
      <c r="I45" s="74" t="s">
        <v>451</v>
      </c>
      <c r="J45" s="74" t="s">
        <v>148</v>
      </c>
      <c r="K45" s="74" t="s">
        <v>31</v>
      </c>
      <c r="L45" s="74" t="s">
        <v>73</v>
      </c>
      <c r="M45" s="74">
        <v>1</v>
      </c>
      <c r="N45" s="74" t="s">
        <v>33</v>
      </c>
      <c r="O45" s="126">
        <v>34</v>
      </c>
      <c r="P45" s="84" t="s">
        <v>320</v>
      </c>
      <c r="Q45" s="74" t="s">
        <v>34</v>
      </c>
      <c r="R45" s="85">
        <v>45292</v>
      </c>
      <c r="S45" s="85">
        <v>45657</v>
      </c>
      <c r="T45" s="104">
        <v>5</v>
      </c>
      <c r="U45" s="86">
        <v>5</v>
      </c>
      <c r="V45" s="87">
        <f>+IFERROR((T45/U45)*(T45/$O$45),0)</f>
        <v>0.14705882352941177</v>
      </c>
      <c r="W45" s="99"/>
      <c r="X45" s="127">
        <v>10</v>
      </c>
      <c r="Y45" s="87">
        <f>+IFERROR((W45/X45)*(W45/$O$45),0)</f>
        <v>0</v>
      </c>
      <c r="Z45" s="105"/>
      <c r="AA45" s="127">
        <v>9</v>
      </c>
      <c r="AB45" s="87">
        <f>+IFERROR((Z45/AA45)*(Z45/$O$45),0)</f>
        <v>0</v>
      </c>
      <c r="AC45" s="98"/>
      <c r="AD45" s="127">
        <v>10</v>
      </c>
      <c r="AE45" s="87">
        <f>+IFERROR((AC45/AD45)*(AC45/$O$45),0)</f>
        <v>0</v>
      </c>
      <c r="AF45" s="93">
        <f t="shared" si="2"/>
        <v>0.14705882352941177</v>
      </c>
      <c r="AG45" s="168"/>
      <c r="AH45" s="95" t="s">
        <v>104</v>
      </c>
      <c r="AI45" s="97" t="s">
        <v>452</v>
      </c>
      <c r="AJ45" s="68" t="s">
        <v>505</v>
      </c>
      <c r="AK45" s="152" t="s">
        <v>551</v>
      </c>
      <c r="AL45" s="96"/>
      <c r="AM45" s="96"/>
      <c r="AN45" s="96"/>
      <c r="AO45" s="96"/>
      <c r="AP45" s="96"/>
      <c r="AQ45" s="96"/>
      <c r="AR45" s="15"/>
    </row>
    <row r="46" spans="1:44" s="72" customFormat="1" ht="124.5" customHeight="1" thickBot="1" x14ac:dyDescent="0.25">
      <c r="A46" s="108">
        <v>36</v>
      </c>
      <c r="B46" s="74" t="s">
        <v>86</v>
      </c>
      <c r="C46" s="74" t="s">
        <v>98</v>
      </c>
      <c r="D46" s="82" t="s">
        <v>250</v>
      </c>
      <c r="E46" s="74" t="s">
        <v>370</v>
      </c>
      <c r="F46" s="74" t="s">
        <v>368</v>
      </c>
      <c r="G46" s="74" t="s">
        <v>371</v>
      </c>
      <c r="H46" s="74" t="s">
        <v>108</v>
      </c>
      <c r="I46" s="74" t="s">
        <v>109</v>
      </c>
      <c r="J46" s="74" t="s">
        <v>458</v>
      </c>
      <c r="K46" s="74" t="s">
        <v>31</v>
      </c>
      <c r="L46" s="74" t="s">
        <v>73</v>
      </c>
      <c r="M46" s="74">
        <v>1</v>
      </c>
      <c r="N46" s="74" t="s">
        <v>33</v>
      </c>
      <c r="O46" s="83">
        <v>0.9</v>
      </c>
      <c r="P46" s="84">
        <v>0.25</v>
      </c>
      <c r="Q46" s="74" t="s">
        <v>34</v>
      </c>
      <c r="R46" s="85">
        <v>45292</v>
      </c>
      <c r="S46" s="85">
        <v>45657</v>
      </c>
      <c r="T46" s="104"/>
      <c r="U46" s="86">
        <f>+(5%/4)</f>
        <v>1.2500000000000001E-2</v>
      </c>
      <c r="V46" s="87">
        <f>IF(T46="",0%,IF(T46&lt;U46,$P$46,0%))</f>
        <v>0</v>
      </c>
      <c r="W46" s="99"/>
      <c r="X46" s="86">
        <f>+(5%/4)</f>
        <v>1.2500000000000001E-2</v>
      </c>
      <c r="Y46" s="87">
        <f>IF(W46="",0%,IF(W46&lt;X46,$P$46,0%))</f>
        <v>0</v>
      </c>
      <c r="Z46" s="105"/>
      <c r="AA46" s="86">
        <f>+(5%/4)</f>
        <v>1.2500000000000001E-2</v>
      </c>
      <c r="AB46" s="87">
        <f>IF(Z46="",0%,IF(Z46&lt;AA46,$P$46,0%))</f>
        <v>0</v>
      </c>
      <c r="AC46" s="98"/>
      <c r="AD46" s="86">
        <f>+(5%/4)</f>
        <v>1.2500000000000001E-2</v>
      </c>
      <c r="AE46" s="87">
        <f>IF(AC46="",0%,IF(AC46&lt;AD46,$P$46,0%))</f>
        <v>0</v>
      </c>
      <c r="AF46" s="93">
        <f t="shared" si="2"/>
        <v>0</v>
      </c>
      <c r="AG46" s="168"/>
      <c r="AH46" s="95" t="s">
        <v>106</v>
      </c>
      <c r="AI46" s="97" t="s">
        <v>107</v>
      </c>
      <c r="AJ46" s="68" t="s">
        <v>459</v>
      </c>
      <c r="AK46" s="152" t="s">
        <v>552</v>
      </c>
      <c r="AL46" s="96"/>
      <c r="AM46" s="96"/>
      <c r="AN46" s="96"/>
      <c r="AO46" s="96"/>
      <c r="AP46" s="96"/>
      <c r="AQ46" s="96"/>
      <c r="AR46" s="15"/>
    </row>
    <row r="47" spans="1:44" s="72" customFormat="1" ht="105" customHeight="1" thickBot="1" x14ac:dyDescent="0.25">
      <c r="A47" s="108">
        <v>37</v>
      </c>
      <c r="B47" s="74" t="s">
        <v>86</v>
      </c>
      <c r="C47" s="74" t="s">
        <v>98</v>
      </c>
      <c r="D47" s="82" t="s">
        <v>250</v>
      </c>
      <c r="E47" s="74" t="s">
        <v>372</v>
      </c>
      <c r="F47" s="74" t="s">
        <v>362</v>
      </c>
      <c r="G47" s="74" t="s">
        <v>110</v>
      </c>
      <c r="H47" s="74" t="s">
        <v>111</v>
      </c>
      <c r="I47" s="74" t="s">
        <v>112</v>
      </c>
      <c r="J47" s="74" t="s">
        <v>271</v>
      </c>
      <c r="K47" s="74" t="s">
        <v>31</v>
      </c>
      <c r="L47" s="74" t="s">
        <v>73</v>
      </c>
      <c r="M47" s="74">
        <v>1</v>
      </c>
      <c r="N47" s="74" t="s">
        <v>33</v>
      </c>
      <c r="O47" s="83">
        <v>1</v>
      </c>
      <c r="P47" s="84">
        <v>0.25</v>
      </c>
      <c r="Q47" s="74" t="s">
        <v>34</v>
      </c>
      <c r="R47" s="85">
        <v>45292</v>
      </c>
      <c r="S47" s="85">
        <v>45657</v>
      </c>
      <c r="T47" s="104">
        <v>10</v>
      </c>
      <c r="U47" s="86">
        <v>10</v>
      </c>
      <c r="V47" s="87">
        <f>IFERROR((T47/U47)*$P$47,0)</f>
        <v>0.25</v>
      </c>
      <c r="W47" s="99"/>
      <c r="X47" s="86"/>
      <c r="Y47" s="87">
        <f>IFERROR((W47/X47)*$P$47,0)</f>
        <v>0</v>
      </c>
      <c r="Z47" s="105"/>
      <c r="AA47" s="86"/>
      <c r="AB47" s="87">
        <f>IFERROR((Z47/AA47)*$P$47,0)</f>
        <v>0</v>
      </c>
      <c r="AC47" s="98"/>
      <c r="AD47" s="86"/>
      <c r="AE47" s="87">
        <f>IFERROR((AC47/AD47)*$P$47,0)</f>
        <v>0</v>
      </c>
      <c r="AF47" s="93">
        <f t="shared" si="2"/>
        <v>0.25</v>
      </c>
      <c r="AG47" s="168"/>
      <c r="AH47" s="95" t="s">
        <v>106</v>
      </c>
      <c r="AI47" s="97" t="s">
        <v>107</v>
      </c>
      <c r="AJ47" s="68" t="s">
        <v>553</v>
      </c>
      <c r="AK47" s="152" t="s">
        <v>506</v>
      </c>
      <c r="AL47" s="96"/>
      <c r="AM47" s="96"/>
      <c r="AN47" s="96"/>
      <c r="AO47" s="96"/>
      <c r="AP47" s="96"/>
      <c r="AQ47" s="96"/>
      <c r="AR47" s="15"/>
    </row>
    <row r="48" spans="1:44" s="72" customFormat="1" ht="107.25" customHeight="1" thickBot="1" x14ac:dyDescent="0.25">
      <c r="A48" s="108">
        <v>38</v>
      </c>
      <c r="B48" s="74" t="s">
        <v>86</v>
      </c>
      <c r="C48" s="74" t="s">
        <v>98</v>
      </c>
      <c r="D48" s="82" t="s">
        <v>250</v>
      </c>
      <c r="E48" s="74" t="s">
        <v>373</v>
      </c>
      <c r="F48" s="74" t="s">
        <v>368</v>
      </c>
      <c r="G48" s="74" t="s">
        <v>113</v>
      </c>
      <c r="H48" s="74" t="s">
        <v>293</v>
      </c>
      <c r="I48" s="74" t="s">
        <v>114</v>
      </c>
      <c r="J48" s="74" t="s">
        <v>435</v>
      </c>
      <c r="K48" s="74" t="s">
        <v>41</v>
      </c>
      <c r="L48" s="74" t="s">
        <v>73</v>
      </c>
      <c r="M48" s="74">
        <v>2</v>
      </c>
      <c r="N48" s="74" t="s">
        <v>33</v>
      </c>
      <c r="O48" s="83">
        <v>2</v>
      </c>
      <c r="P48" s="84">
        <v>0.5</v>
      </c>
      <c r="Q48" s="74" t="s">
        <v>81</v>
      </c>
      <c r="R48" s="85">
        <v>45292</v>
      </c>
      <c r="S48" s="85">
        <v>45657</v>
      </c>
      <c r="T48" s="104"/>
      <c r="U48" s="86"/>
      <c r="V48" s="87" t="s">
        <v>33</v>
      </c>
      <c r="W48" s="99"/>
      <c r="X48" s="86">
        <v>1</v>
      </c>
      <c r="Y48" s="87">
        <f>+W48/X48*$P$48</f>
        <v>0</v>
      </c>
      <c r="Z48" s="105"/>
      <c r="AA48" s="86">
        <v>1</v>
      </c>
      <c r="AB48" s="87">
        <f>+Z48/AA48*$P$48</f>
        <v>0</v>
      </c>
      <c r="AC48" s="98"/>
      <c r="AD48" s="86"/>
      <c r="AE48" s="87" t="s">
        <v>33</v>
      </c>
      <c r="AF48" s="93">
        <f>+Y48+AB48</f>
        <v>0</v>
      </c>
      <c r="AG48" s="168"/>
      <c r="AH48" s="95" t="s">
        <v>101</v>
      </c>
      <c r="AI48" s="97" t="s">
        <v>452</v>
      </c>
      <c r="AJ48" s="68" t="s">
        <v>507</v>
      </c>
      <c r="AK48" s="152" t="s">
        <v>554</v>
      </c>
      <c r="AL48" s="96"/>
      <c r="AM48" s="96"/>
      <c r="AN48" s="96"/>
      <c r="AO48" s="96"/>
      <c r="AP48" s="96"/>
      <c r="AQ48" s="96"/>
      <c r="AR48" s="15"/>
    </row>
    <row r="49" spans="1:44" s="72" customFormat="1" ht="77.25" customHeight="1" thickBot="1" x14ac:dyDescent="0.25">
      <c r="A49" s="108">
        <v>39</v>
      </c>
      <c r="B49" s="74" t="s">
        <v>86</v>
      </c>
      <c r="C49" s="74" t="s">
        <v>98</v>
      </c>
      <c r="D49" s="82" t="s">
        <v>250</v>
      </c>
      <c r="E49" s="74" t="s">
        <v>373</v>
      </c>
      <c r="F49" s="74" t="s">
        <v>368</v>
      </c>
      <c r="G49" s="74" t="s">
        <v>264</v>
      </c>
      <c r="H49" s="74" t="s">
        <v>266</v>
      </c>
      <c r="I49" s="74" t="s">
        <v>265</v>
      </c>
      <c r="J49" s="74" t="s">
        <v>374</v>
      </c>
      <c r="K49" s="74" t="s">
        <v>267</v>
      </c>
      <c r="L49" s="74" t="s">
        <v>73</v>
      </c>
      <c r="M49" s="74" t="s">
        <v>268</v>
      </c>
      <c r="N49" s="74" t="s">
        <v>269</v>
      </c>
      <c r="O49" s="83" t="s">
        <v>270</v>
      </c>
      <c r="P49" s="84">
        <v>1</v>
      </c>
      <c r="Q49" s="74" t="s">
        <v>125</v>
      </c>
      <c r="R49" s="85">
        <v>45292</v>
      </c>
      <c r="S49" s="85">
        <v>45657</v>
      </c>
      <c r="T49" s="104"/>
      <c r="U49" s="86"/>
      <c r="V49" s="87" t="s">
        <v>33</v>
      </c>
      <c r="W49" s="99"/>
      <c r="X49" s="86"/>
      <c r="Y49" s="87" t="s">
        <v>33</v>
      </c>
      <c r="Z49" s="105"/>
      <c r="AA49" s="86"/>
      <c r="AB49" s="87" t="s">
        <v>33</v>
      </c>
      <c r="AC49" s="98"/>
      <c r="AD49" s="86">
        <v>80</v>
      </c>
      <c r="AE49" s="87">
        <f>IF(AC49&gt;AD49,100%,AC49%)</f>
        <v>0</v>
      </c>
      <c r="AF49" s="93">
        <f>+AE49</f>
        <v>0</v>
      </c>
      <c r="AG49" s="169"/>
      <c r="AH49" s="95" t="s">
        <v>101</v>
      </c>
      <c r="AI49" s="97" t="s">
        <v>452</v>
      </c>
      <c r="AJ49" s="68" t="s">
        <v>555</v>
      </c>
      <c r="AK49" s="152" t="s">
        <v>556</v>
      </c>
      <c r="AL49" s="96"/>
      <c r="AM49" s="96"/>
      <c r="AN49" s="96"/>
      <c r="AO49" s="96"/>
      <c r="AP49" s="96"/>
      <c r="AQ49" s="96"/>
      <c r="AR49" s="15"/>
    </row>
    <row r="50" spans="1:44" s="72" customFormat="1" ht="126" customHeight="1" thickBot="1" x14ac:dyDescent="0.25">
      <c r="A50" s="108">
        <v>40</v>
      </c>
      <c r="B50" s="74" t="s">
        <v>86</v>
      </c>
      <c r="C50" s="74" t="s">
        <v>98</v>
      </c>
      <c r="D50" s="82" t="s">
        <v>250</v>
      </c>
      <c r="E50" s="74" t="s">
        <v>454</v>
      </c>
      <c r="F50" s="74" t="s">
        <v>453</v>
      </c>
      <c r="G50" s="74" t="s">
        <v>115</v>
      </c>
      <c r="H50" s="74" t="s">
        <v>116</v>
      </c>
      <c r="I50" s="74" t="s">
        <v>117</v>
      </c>
      <c r="J50" s="74" t="s">
        <v>118</v>
      </c>
      <c r="K50" s="74" t="s">
        <v>41</v>
      </c>
      <c r="L50" s="74" t="s">
        <v>73</v>
      </c>
      <c r="M50" s="74" t="s">
        <v>33</v>
      </c>
      <c r="N50" s="74" t="s">
        <v>33</v>
      </c>
      <c r="O50" s="83">
        <v>2</v>
      </c>
      <c r="P50" s="84">
        <v>0.5</v>
      </c>
      <c r="Q50" s="74" t="s">
        <v>81</v>
      </c>
      <c r="R50" s="85">
        <v>45292</v>
      </c>
      <c r="S50" s="85">
        <v>45657</v>
      </c>
      <c r="T50" s="104">
        <v>1</v>
      </c>
      <c r="U50" s="86">
        <v>1</v>
      </c>
      <c r="V50" s="87">
        <f>+T50/U50*P50</f>
        <v>0.5</v>
      </c>
      <c r="W50" s="99"/>
      <c r="X50" s="86"/>
      <c r="Y50" s="87" t="s">
        <v>33</v>
      </c>
      <c r="Z50" s="105"/>
      <c r="AA50" s="86">
        <v>1</v>
      </c>
      <c r="AB50" s="87">
        <f>+Z50/AA50*$P$50</f>
        <v>0</v>
      </c>
      <c r="AC50" s="98"/>
      <c r="AD50" s="86">
        <v>0</v>
      </c>
      <c r="AE50" s="87" t="s">
        <v>33</v>
      </c>
      <c r="AF50" s="93">
        <f>V50+AB50</f>
        <v>0.5</v>
      </c>
      <c r="AG50" s="170"/>
      <c r="AH50" s="95" t="s">
        <v>101</v>
      </c>
      <c r="AI50" s="97" t="s">
        <v>452</v>
      </c>
      <c r="AJ50" s="68" t="s">
        <v>508</v>
      </c>
      <c r="AK50" s="152" t="s">
        <v>509</v>
      </c>
      <c r="AL50" s="96"/>
      <c r="AM50" s="96"/>
      <c r="AN50" s="96"/>
      <c r="AO50" s="96"/>
      <c r="AP50" s="96"/>
      <c r="AQ50" s="96"/>
      <c r="AR50" s="15"/>
    </row>
    <row r="51" spans="1:44" s="15" customFormat="1" ht="147" customHeight="1" thickBot="1" x14ac:dyDescent="0.25">
      <c r="A51" s="108">
        <v>41</v>
      </c>
      <c r="B51" s="74" t="s">
        <v>119</v>
      </c>
      <c r="C51" s="74" t="s">
        <v>376</v>
      </c>
      <c r="D51" s="82" t="s">
        <v>252</v>
      </c>
      <c r="E51" s="74" t="s">
        <v>375</v>
      </c>
      <c r="F51" s="74" t="s">
        <v>378</v>
      </c>
      <c r="G51" s="74" t="s">
        <v>377</v>
      </c>
      <c r="H51" s="74" t="s">
        <v>275</v>
      </c>
      <c r="I51" s="74" t="s">
        <v>120</v>
      </c>
      <c r="J51" s="74" t="s">
        <v>308</v>
      </c>
      <c r="K51" s="74" t="s">
        <v>31</v>
      </c>
      <c r="L51" s="74" t="s">
        <v>38</v>
      </c>
      <c r="M51" s="74" t="s">
        <v>33</v>
      </c>
      <c r="N51" s="74" t="s">
        <v>33</v>
      </c>
      <c r="O51" s="122">
        <v>1</v>
      </c>
      <c r="P51" s="84">
        <v>0.25</v>
      </c>
      <c r="Q51" s="74" t="s">
        <v>34</v>
      </c>
      <c r="R51" s="85">
        <v>45292</v>
      </c>
      <c r="S51" s="85">
        <v>45657</v>
      </c>
      <c r="T51" s="112">
        <v>8802079275</v>
      </c>
      <c r="U51" s="112">
        <v>11655688070</v>
      </c>
      <c r="V51" s="87">
        <f>+(T51/U51)*$P$51</f>
        <v>0.18879364354420305</v>
      </c>
      <c r="W51" s="99"/>
      <c r="X51" s="86"/>
      <c r="Y51" s="87">
        <f>IFERROR((W51/X51)*$P$51,0)</f>
        <v>0</v>
      </c>
      <c r="Z51" s="105"/>
      <c r="AA51" s="86"/>
      <c r="AB51" s="87">
        <f>IFERROR((Z51/AA51)*$P$51,0)</f>
        <v>0</v>
      </c>
      <c r="AC51" s="98"/>
      <c r="AD51" s="86"/>
      <c r="AE51" s="87">
        <f>IFERROR((AC51/AD51)*$P$51,0)</f>
        <v>0</v>
      </c>
      <c r="AF51" s="93">
        <f t="shared" si="2"/>
        <v>0.18879364354420305</v>
      </c>
      <c r="AG51" s="162">
        <f>+(AF51+AF53+AF55+AF56)/4</f>
        <v>0.1715596056773592</v>
      </c>
      <c r="AH51" s="95" t="s">
        <v>74</v>
      </c>
      <c r="AI51" s="97" t="s">
        <v>121</v>
      </c>
      <c r="AJ51" s="68" t="s">
        <v>510</v>
      </c>
      <c r="AK51" s="152" t="s">
        <v>557</v>
      </c>
      <c r="AL51" s="96"/>
      <c r="AM51" s="96"/>
      <c r="AN51" s="96"/>
      <c r="AO51" s="96"/>
      <c r="AP51" s="96"/>
      <c r="AQ51" s="96"/>
    </row>
    <row r="52" spans="1:44" s="15" customFormat="1" ht="123" customHeight="1" thickBot="1" x14ac:dyDescent="0.25">
      <c r="A52" s="108">
        <v>42</v>
      </c>
      <c r="B52" s="74" t="s">
        <v>119</v>
      </c>
      <c r="C52" s="74" t="s">
        <v>376</v>
      </c>
      <c r="D52" s="82" t="s">
        <v>252</v>
      </c>
      <c r="E52" s="74" t="s">
        <v>375</v>
      </c>
      <c r="F52" s="74" t="s">
        <v>378</v>
      </c>
      <c r="G52" s="74" t="s">
        <v>377</v>
      </c>
      <c r="H52" s="74" t="s">
        <v>276</v>
      </c>
      <c r="I52" s="74" t="s">
        <v>379</v>
      </c>
      <c r="J52" s="74" t="s">
        <v>380</v>
      </c>
      <c r="K52" s="74" t="s">
        <v>31</v>
      </c>
      <c r="L52" s="74" t="s">
        <v>38</v>
      </c>
      <c r="M52" s="74" t="s">
        <v>33</v>
      </c>
      <c r="N52" s="74" t="s">
        <v>33</v>
      </c>
      <c r="O52" s="122">
        <v>1</v>
      </c>
      <c r="P52" s="84">
        <v>0.25</v>
      </c>
      <c r="Q52" s="74" t="s">
        <v>34</v>
      </c>
      <c r="R52" s="85">
        <v>45292</v>
      </c>
      <c r="S52" s="85">
        <v>45657</v>
      </c>
      <c r="T52" s="112">
        <v>4293116847</v>
      </c>
      <c r="U52" s="112">
        <v>11655688070</v>
      </c>
      <c r="V52" s="87">
        <f>+IFERROR((T52/U52)*$P$52,0)</f>
        <v>9.2082012259101231E-2</v>
      </c>
      <c r="W52" s="99"/>
      <c r="X52" s="86"/>
      <c r="Y52" s="87">
        <f>+IFERROR((W52/X52)*$P$52,0)</f>
        <v>0</v>
      </c>
      <c r="Z52" s="105"/>
      <c r="AA52" s="86"/>
      <c r="AB52" s="87">
        <f>+IFERROR((Z52/AA52)*$P$52,0)</f>
        <v>0</v>
      </c>
      <c r="AC52" s="98"/>
      <c r="AD52" s="86"/>
      <c r="AE52" s="87">
        <f>+IFERROR((AC52/AD52)*$P$52,0)</f>
        <v>0</v>
      </c>
      <c r="AF52" s="93">
        <f>+V52+Y52+AB52+AE52</f>
        <v>9.2082012259101231E-2</v>
      </c>
      <c r="AG52" s="164"/>
      <c r="AH52" s="95" t="s">
        <v>74</v>
      </c>
      <c r="AI52" s="97" t="s">
        <v>121</v>
      </c>
      <c r="AJ52" s="68" t="s">
        <v>511</v>
      </c>
      <c r="AK52" s="152" t="s">
        <v>512</v>
      </c>
      <c r="AL52" s="96"/>
      <c r="AM52" s="96"/>
      <c r="AN52" s="96"/>
      <c r="AO52" s="96"/>
      <c r="AP52" s="96"/>
      <c r="AQ52" s="96"/>
    </row>
    <row r="53" spans="1:44" s="56" customFormat="1" ht="83.25" customHeight="1" thickBot="1" x14ac:dyDescent="0.25">
      <c r="A53" s="108">
        <v>43</v>
      </c>
      <c r="B53" s="74" t="s">
        <v>119</v>
      </c>
      <c r="C53" s="74" t="s">
        <v>376</v>
      </c>
      <c r="D53" s="82" t="s">
        <v>252</v>
      </c>
      <c r="E53" s="74" t="s">
        <v>375</v>
      </c>
      <c r="F53" s="74" t="s">
        <v>378</v>
      </c>
      <c r="G53" s="74" t="s">
        <v>381</v>
      </c>
      <c r="H53" s="74" t="s">
        <v>382</v>
      </c>
      <c r="I53" s="74" t="s">
        <v>383</v>
      </c>
      <c r="J53" s="74" t="s">
        <v>309</v>
      </c>
      <c r="K53" s="74" t="s">
        <v>31</v>
      </c>
      <c r="L53" s="74" t="s">
        <v>32</v>
      </c>
      <c r="M53" s="74" t="s">
        <v>33</v>
      </c>
      <c r="N53" s="74" t="s">
        <v>384</v>
      </c>
      <c r="O53" s="122">
        <v>1</v>
      </c>
      <c r="P53" s="84">
        <v>0.25</v>
      </c>
      <c r="Q53" s="74" t="s">
        <v>34</v>
      </c>
      <c r="R53" s="85">
        <v>45292</v>
      </c>
      <c r="S53" s="85">
        <v>45657</v>
      </c>
      <c r="T53" s="104">
        <v>5</v>
      </c>
      <c r="U53" s="86">
        <v>5</v>
      </c>
      <c r="V53" s="87">
        <f>+IFERROR((T53/U53)*$P$53,0)</f>
        <v>0.25</v>
      </c>
      <c r="W53" s="99"/>
      <c r="X53" s="86"/>
      <c r="Y53" s="87">
        <f>+IFERROR((W53/X53)*$P$53,0)</f>
        <v>0</v>
      </c>
      <c r="Z53" s="105"/>
      <c r="AA53" s="86"/>
      <c r="AB53" s="87">
        <f>+IFERROR((Z53/AA53)*$P$53,0)</f>
        <v>0</v>
      </c>
      <c r="AC53" s="98"/>
      <c r="AD53" s="86"/>
      <c r="AE53" s="87">
        <f>+IFERROR((AC53/AD53)*$P$53,0)</f>
        <v>0</v>
      </c>
      <c r="AF53" s="93">
        <f t="shared" si="2"/>
        <v>0.25</v>
      </c>
      <c r="AG53" s="173"/>
      <c r="AH53" s="95" t="s">
        <v>74</v>
      </c>
      <c r="AI53" s="97" t="s">
        <v>121</v>
      </c>
      <c r="AJ53" s="68" t="s">
        <v>513</v>
      </c>
      <c r="AK53" s="152" t="s">
        <v>514</v>
      </c>
      <c r="AL53" s="96"/>
      <c r="AM53" s="96"/>
      <c r="AN53" s="96"/>
      <c r="AO53" s="96"/>
      <c r="AP53" s="96"/>
      <c r="AQ53" s="96"/>
    </row>
    <row r="54" spans="1:44" s="15" customFormat="1" ht="90" thickBot="1" x14ac:dyDescent="0.25">
      <c r="A54" s="108">
        <v>44</v>
      </c>
      <c r="B54" s="74" t="s">
        <v>119</v>
      </c>
      <c r="C54" s="74" t="s">
        <v>376</v>
      </c>
      <c r="D54" s="82" t="s">
        <v>252</v>
      </c>
      <c r="E54" s="74" t="s">
        <v>375</v>
      </c>
      <c r="F54" s="74" t="s">
        <v>378</v>
      </c>
      <c r="G54" s="74" t="s">
        <v>436</v>
      </c>
      <c r="H54" s="74" t="s">
        <v>437</v>
      </c>
      <c r="I54" s="74" t="s">
        <v>438</v>
      </c>
      <c r="J54" s="74" t="s">
        <v>439</v>
      </c>
      <c r="K54" s="74" t="s">
        <v>124</v>
      </c>
      <c r="L54" s="74" t="s">
        <v>38</v>
      </c>
      <c r="M54" s="74" t="s">
        <v>33</v>
      </c>
      <c r="N54" s="74" t="s">
        <v>33</v>
      </c>
      <c r="O54" s="83">
        <v>12</v>
      </c>
      <c r="P54" s="84">
        <v>0.25</v>
      </c>
      <c r="Q54" s="74" t="s">
        <v>34</v>
      </c>
      <c r="R54" s="85">
        <v>45292</v>
      </c>
      <c r="S54" s="85">
        <v>45657</v>
      </c>
      <c r="T54" s="104">
        <v>3</v>
      </c>
      <c r="U54" s="86">
        <v>3</v>
      </c>
      <c r="V54" s="87">
        <f>+IFERROR((T54/U54)*$P$54,0)</f>
        <v>0.25</v>
      </c>
      <c r="W54" s="99"/>
      <c r="X54" s="86">
        <v>3</v>
      </c>
      <c r="Y54" s="87">
        <f>+IFERROR((W54/X54)*$P$54,0)</f>
        <v>0</v>
      </c>
      <c r="Z54" s="105"/>
      <c r="AA54" s="86">
        <v>3</v>
      </c>
      <c r="AB54" s="87">
        <f>+IFERROR((Z54/AA54)*$P$54,0)</f>
        <v>0</v>
      </c>
      <c r="AC54" s="98"/>
      <c r="AD54" s="86">
        <v>3</v>
      </c>
      <c r="AE54" s="87">
        <f>+IFERROR((AC54/AD54)*$P$54,0)</f>
        <v>0</v>
      </c>
      <c r="AF54" s="93">
        <f>+V54+Y54+AB54+AE54</f>
        <v>0.25</v>
      </c>
      <c r="AG54" s="173"/>
      <c r="AH54" s="95" t="s">
        <v>74</v>
      </c>
      <c r="AI54" s="97" t="s">
        <v>121</v>
      </c>
      <c r="AJ54" s="68" t="s">
        <v>515</v>
      </c>
      <c r="AK54" s="152" t="s">
        <v>558</v>
      </c>
      <c r="AL54" s="96"/>
      <c r="AM54" s="96"/>
      <c r="AN54" s="96"/>
      <c r="AO54" s="96"/>
      <c r="AP54" s="96"/>
      <c r="AQ54" s="96"/>
    </row>
    <row r="55" spans="1:44" s="15" customFormat="1" ht="112.5" customHeight="1" thickBot="1" x14ac:dyDescent="0.25">
      <c r="A55" s="108">
        <v>45</v>
      </c>
      <c r="B55" s="74" t="s">
        <v>119</v>
      </c>
      <c r="C55" s="74" t="s">
        <v>376</v>
      </c>
      <c r="D55" s="82" t="s">
        <v>252</v>
      </c>
      <c r="E55" s="74" t="s">
        <v>253</v>
      </c>
      <c r="F55" s="74" t="s">
        <v>385</v>
      </c>
      <c r="G55" s="74" t="s">
        <v>386</v>
      </c>
      <c r="H55" s="74" t="s">
        <v>122</v>
      </c>
      <c r="I55" s="74" t="s">
        <v>387</v>
      </c>
      <c r="J55" s="74" t="s">
        <v>123</v>
      </c>
      <c r="K55" s="74" t="s">
        <v>124</v>
      </c>
      <c r="L55" s="74" t="s">
        <v>38</v>
      </c>
      <c r="M55" s="74" t="s">
        <v>307</v>
      </c>
      <c r="N55" s="74" t="s">
        <v>388</v>
      </c>
      <c r="O55" s="122">
        <v>1</v>
      </c>
      <c r="P55" s="84">
        <v>0.25</v>
      </c>
      <c r="Q55" s="74" t="s">
        <v>34</v>
      </c>
      <c r="R55" s="85">
        <v>45292</v>
      </c>
      <c r="S55" s="85">
        <v>45657</v>
      </c>
      <c r="T55" s="112">
        <v>8279538860</v>
      </c>
      <c r="U55" s="112">
        <v>11655688070</v>
      </c>
      <c r="V55" s="87">
        <f>IFERROR((T55/U55)*$P$55,0)</f>
        <v>0.17758580210528918</v>
      </c>
      <c r="W55" s="99"/>
      <c r="X55" s="86"/>
      <c r="Y55" s="87">
        <f>IFERROR((W55/X55)*$P$55,0)</f>
        <v>0</v>
      </c>
      <c r="Z55" s="105"/>
      <c r="AA55" s="86"/>
      <c r="AB55" s="87">
        <f>IFERROR((Z55/AA55)*$P$55,0)</f>
        <v>0</v>
      </c>
      <c r="AC55" s="98"/>
      <c r="AD55" s="86"/>
      <c r="AE55" s="87">
        <f>IFERROR((AC55/AD55)*$P$55,0)</f>
        <v>0</v>
      </c>
      <c r="AF55" s="93">
        <f>+V55+Y55+AB55+AE55</f>
        <v>0.17758580210528918</v>
      </c>
      <c r="AG55" s="173"/>
      <c r="AH55" s="95" t="s">
        <v>74</v>
      </c>
      <c r="AI55" s="97" t="s">
        <v>121</v>
      </c>
      <c r="AJ55" s="68" t="s">
        <v>516</v>
      </c>
      <c r="AK55" s="152" t="s">
        <v>517</v>
      </c>
      <c r="AL55" s="96"/>
      <c r="AM55" s="96"/>
      <c r="AN55" s="96"/>
      <c r="AO55" s="96"/>
      <c r="AP55" s="96"/>
      <c r="AQ55" s="96"/>
    </row>
    <row r="56" spans="1:44" s="15" customFormat="1" ht="101.25" customHeight="1" thickBot="1" x14ac:dyDescent="0.25">
      <c r="A56" s="108">
        <v>46</v>
      </c>
      <c r="B56" s="74" t="s">
        <v>119</v>
      </c>
      <c r="C56" s="74" t="s">
        <v>376</v>
      </c>
      <c r="D56" s="82" t="s">
        <v>252</v>
      </c>
      <c r="E56" s="74" t="s">
        <v>253</v>
      </c>
      <c r="F56" s="74" t="s">
        <v>385</v>
      </c>
      <c r="G56" s="74" t="s">
        <v>126</v>
      </c>
      <c r="H56" s="74" t="s">
        <v>127</v>
      </c>
      <c r="I56" s="74" t="s">
        <v>389</v>
      </c>
      <c r="J56" s="74" t="s">
        <v>128</v>
      </c>
      <c r="K56" s="74" t="s">
        <v>124</v>
      </c>
      <c r="L56" s="74" t="s">
        <v>38</v>
      </c>
      <c r="M56" s="74" t="s">
        <v>307</v>
      </c>
      <c r="N56" s="74" t="s">
        <v>388</v>
      </c>
      <c r="O56" s="122">
        <v>1</v>
      </c>
      <c r="P56" s="84">
        <v>0.25</v>
      </c>
      <c r="Q56" s="74" t="s">
        <v>34</v>
      </c>
      <c r="R56" s="85">
        <v>45292</v>
      </c>
      <c r="S56" s="85">
        <v>45657</v>
      </c>
      <c r="T56" s="112">
        <v>3257017782</v>
      </c>
      <c r="U56" s="112">
        <v>11655688070</v>
      </c>
      <c r="V56" s="87">
        <f>+IFERROR((T56/U56)*$P$55,0)</f>
        <v>6.9858977059944607E-2</v>
      </c>
      <c r="W56" s="99"/>
      <c r="X56" s="86"/>
      <c r="Y56" s="87">
        <f>+IFERROR((W56/X56)*$P$55,0)</f>
        <v>0</v>
      </c>
      <c r="Z56" s="105"/>
      <c r="AA56" s="86"/>
      <c r="AB56" s="87">
        <f>+IFERROR((Z56/AA56)*$P$55,0)</f>
        <v>0</v>
      </c>
      <c r="AC56" s="98"/>
      <c r="AD56" s="86"/>
      <c r="AE56" s="87">
        <f>+IFERROR((AC56/AD56)*$P$55,0)</f>
        <v>0</v>
      </c>
      <c r="AF56" s="93">
        <f>+V56+Y56+AB56+AE56</f>
        <v>6.9858977059944607E-2</v>
      </c>
      <c r="AG56" s="163"/>
      <c r="AH56" s="95" t="s">
        <v>74</v>
      </c>
      <c r="AI56" s="97" t="s">
        <v>121</v>
      </c>
      <c r="AJ56" s="68" t="s">
        <v>518</v>
      </c>
      <c r="AK56" s="152" t="s">
        <v>519</v>
      </c>
      <c r="AL56" s="96"/>
      <c r="AM56" s="96"/>
      <c r="AN56" s="96"/>
      <c r="AO56" s="96"/>
      <c r="AP56" s="96"/>
      <c r="AQ56" s="96"/>
    </row>
    <row r="57" spans="1:44" s="15" customFormat="1" ht="333" customHeight="1" thickBot="1" x14ac:dyDescent="0.25">
      <c r="A57" s="108">
        <v>47</v>
      </c>
      <c r="B57" s="74" t="s">
        <v>86</v>
      </c>
      <c r="C57" s="74" t="s">
        <v>87</v>
      </c>
      <c r="D57" s="82" t="s">
        <v>390</v>
      </c>
      <c r="E57" s="74" t="s">
        <v>255</v>
      </c>
      <c r="F57" s="74" t="s">
        <v>129</v>
      </c>
      <c r="G57" s="74" t="s">
        <v>130</v>
      </c>
      <c r="H57" s="74" t="s">
        <v>391</v>
      </c>
      <c r="I57" s="74" t="s">
        <v>413</v>
      </c>
      <c r="J57" s="74" t="s">
        <v>392</v>
      </c>
      <c r="K57" s="74" t="s">
        <v>41</v>
      </c>
      <c r="L57" s="74" t="s">
        <v>32</v>
      </c>
      <c r="M57" s="74">
        <v>6000</v>
      </c>
      <c r="N57" s="74" t="s">
        <v>393</v>
      </c>
      <c r="O57" s="83">
        <v>6000</v>
      </c>
      <c r="P57" s="84">
        <v>0.25</v>
      </c>
      <c r="Q57" s="74" t="s">
        <v>464</v>
      </c>
      <c r="R57" s="85">
        <v>45292</v>
      </c>
      <c r="S57" s="85">
        <v>45657</v>
      </c>
      <c r="T57" s="104">
        <v>622</v>
      </c>
      <c r="U57" s="86">
        <v>1500</v>
      </c>
      <c r="V57" s="87">
        <f>IFERROR((T57/U57)*$P$57,0)</f>
        <v>0.10366666666666667</v>
      </c>
      <c r="W57" s="99"/>
      <c r="X57" s="86">
        <v>1500</v>
      </c>
      <c r="Y57" s="87">
        <f>IFERROR((W57/X57)*$P$57,0)</f>
        <v>0</v>
      </c>
      <c r="Z57" s="105"/>
      <c r="AA57" s="86">
        <v>1500</v>
      </c>
      <c r="AB57" s="87">
        <f>IFERROR((Z57/AA57)*$P$57,0)</f>
        <v>0</v>
      </c>
      <c r="AC57" s="98"/>
      <c r="AD57" s="86">
        <v>1500</v>
      </c>
      <c r="AE57" s="87">
        <f>IFERROR((AC57/AD57)*$P$57,0)</f>
        <v>0</v>
      </c>
      <c r="AF57" s="93">
        <f t="shared" si="2"/>
        <v>0.10366666666666667</v>
      </c>
      <c r="AG57" s="162">
        <f>+(AF57+AF58)/2</f>
        <v>5.1833333333333335E-2</v>
      </c>
      <c r="AH57" s="95" t="s">
        <v>35</v>
      </c>
      <c r="AI57" s="97" t="s">
        <v>131</v>
      </c>
      <c r="AJ57" s="68" t="s">
        <v>455</v>
      </c>
      <c r="AK57" s="152"/>
      <c r="AL57" s="96"/>
      <c r="AM57" s="96"/>
      <c r="AN57" s="96"/>
      <c r="AO57" s="96"/>
      <c r="AP57" s="96"/>
      <c r="AQ57" s="96"/>
    </row>
    <row r="58" spans="1:44" s="15" customFormat="1" ht="123" customHeight="1" thickBot="1" x14ac:dyDescent="0.25">
      <c r="A58" s="108">
        <v>48</v>
      </c>
      <c r="B58" s="74" t="s">
        <v>86</v>
      </c>
      <c r="C58" s="74" t="s">
        <v>87</v>
      </c>
      <c r="D58" s="82" t="s">
        <v>254</v>
      </c>
      <c r="E58" s="74" t="s">
        <v>255</v>
      </c>
      <c r="F58" s="74" t="s">
        <v>129</v>
      </c>
      <c r="G58" s="74" t="s">
        <v>394</v>
      </c>
      <c r="H58" s="74" t="s">
        <v>395</v>
      </c>
      <c r="I58" s="74" t="s">
        <v>396</v>
      </c>
      <c r="J58" s="74" t="s">
        <v>284</v>
      </c>
      <c r="K58" s="74" t="s">
        <v>41</v>
      </c>
      <c r="L58" s="74" t="s">
        <v>32</v>
      </c>
      <c r="M58" s="74" t="s">
        <v>132</v>
      </c>
      <c r="N58" s="74" t="s">
        <v>33</v>
      </c>
      <c r="O58" s="83">
        <v>2</v>
      </c>
      <c r="P58" s="84">
        <v>0.5</v>
      </c>
      <c r="Q58" s="74" t="s">
        <v>133</v>
      </c>
      <c r="R58" s="85">
        <v>45292</v>
      </c>
      <c r="S58" s="85">
        <v>45657</v>
      </c>
      <c r="T58" s="104"/>
      <c r="U58" s="86"/>
      <c r="V58" s="87" t="s">
        <v>197</v>
      </c>
      <c r="W58" s="99"/>
      <c r="X58" s="86">
        <v>1</v>
      </c>
      <c r="Y58" s="87">
        <f>+(W58/X58)*$P$58</f>
        <v>0</v>
      </c>
      <c r="Z58" s="105"/>
      <c r="AA58" s="86">
        <v>1</v>
      </c>
      <c r="AB58" s="87">
        <f>+(Z58/AA58)*$P$58</f>
        <v>0</v>
      </c>
      <c r="AC58" s="98"/>
      <c r="AD58" s="86"/>
      <c r="AE58" s="87" t="s">
        <v>197</v>
      </c>
      <c r="AF58" s="93">
        <f>+Y58+AB58</f>
        <v>0</v>
      </c>
      <c r="AG58" s="163"/>
      <c r="AH58" s="95" t="s">
        <v>35</v>
      </c>
      <c r="AI58" s="97" t="s">
        <v>131</v>
      </c>
      <c r="AJ58" s="68" t="s">
        <v>456</v>
      </c>
      <c r="AK58" s="152" t="s">
        <v>575</v>
      </c>
      <c r="AL58" s="96"/>
      <c r="AM58" s="96"/>
      <c r="AN58" s="96"/>
      <c r="AO58" s="96"/>
      <c r="AP58" s="96"/>
      <c r="AQ58" s="96"/>
    </row>
    <row r="59" spans="1:44" s="78" customFormat="1" ht="123" hidden="1" customHeight="1" thickBot="1" x14ac:dyDescent="0.25">
      <c r="A59" s="108">
        <v>49</v>
      </c>
      <c r="B59" s="74" t="s">
        <v>86</v>
      </c>
      <c r="C59" s="74" t="s">
        <v>87</v>
      </c>
      <c r="D59" s="82" t="s">
        <v>254</v>
      </c>
      <c r="E59" s="74" t="s">
        <v>255</v>
      </c>
      <c r="F59" s="74" t="s">
        <v>129</v>
      </c>
      <c r="G59" s="74" t="s">
        <v>428</v>
      </c>
      <c r="H59" s="74" t="s">
        <v>417</v>
      </c>
      <c r="I59" s="74" t="s">
        <v>430</v>
      </c>
      <c r="J59" s="74" t="s">
        <v>429</v>
      </c>
      <c r="K59" s="74" t="s">
        <v>31</v>
      </c>
      <c r="L59" s="74" t="s">
        <v>32</v>
      </c>
      <c r="M59" s="74" t="s">
        <v>197</v>
      </c>
      <c r="N59" s="74" t="s">
        <v>415</v>
      </c>
      <c r="O59" s="83">
        <v>0.98</v>
      </c>
      <c r="P59" s="84">
        <v>0.25</v>
      </c>
      <c r="Q59" s="74" t="s">
        <v>416</v>
      </c>
      <c r="R59" s="85">
        <v>45292</v>
      </c>
      <c r="S59" s="85">
        <v>45657</v>
      </c>
      <c r="T59" s="104"/>
      <c r="U59" s="86"/>
      <c r="V59" s="87"/>
      <c r="W59" s="99"/>
      <c r="X59" s="86"/>
      <c r="Y59" s="87"/>
      <c r="Z59" s="105"/>
      <c r="AA59" s="86"/>
      <c r="AB59" s="87"/>
      <c r="AC59" s="98"/>
      <c r="AD59" s="86"/>
      <c r="AE59" s="87"/>
      <c r="AF59" s="93"/>
      <c r="AG59" s="81"/>
      <c r="AH59" s="95" t="s">
        <v>35</v>
      </c>
      <c r="AI59" s="97" t="s">
        <v>131</v>
      </c>
      <c r="AJ59" s="68" t="s">
        <v>457</v>
      </c>
      <c r="AK59" s="152"/>
      <c r="AL59" s="96"/>
      <c r="AM59" s="96"/>
      <c r="AN59" s="96"/>
      <c r="AO59" s="96"/>
      <c r="AP59" s="96"/>
      <c r="AQ59" s="96"/>
    </row>
    <row r="60" spans="1:44" s="72" customFormat="1" ht="114.75" customHeight="1" thickBot="1" x14ac:dyDescent="0.25">
      <c r="A60" s="108">
        <v>50</v>
      </c>
      <c r="B60" s="74" t="s">
        <v>397</v>
      </c>
      <c r="C60" s="74" t="s">
        <v>80</v>
      </c>
      <c r="D60" s="82" t="s">
        <v>256</v>
      </c>
      <c r="E60" s="74" t="s">
        <v>194</v>
      </c>
      <c r="F60" s="74" t="s">
        <v>135</v>
      </c>
      <c r="G60" s="74" t="s">
        <v>136</v>
      </c>
      <c r="H60" s="74" t="s">
        <v>440</v>
      </c>
      <c r="I60" s="74" t="s">
        <v>195</v>
      </c>
      <c r="J60" s="74" t="s">
        <v>441</v>
      </c>
      <c r="K60" s="74" t="s">
        <v>41</v>
      </c>
      <c r="L60" s="74" t="s">
        <v>137</v>
      </c>
      <c r="M60" s="74" t="s">
        <v>442</v>
      </c>
      <c r="N60" s="74" t="s">
        <v>443</v>
      </c>
      <c r="O60" s="83">
        <v>11</v>
      </c>
      <c r="P60" s="84" t="s">
        <v>320</v>
      </c>
      <c r="Q60" s="74" t="s">
        <v>272</v>
      </c>
      <c r="R60" s="85">
        <v>45292</v>
      </c>
      <c r="S60" s="85">
        <v>45657</v>
      </c>
      <c r="T60" s="120" t="s">
        <v>460</v>
      </c>
      <c r="U60" s="121" t="s">
        <v>461</v>
      </c>
      <c r="V60" s="87">
        <f>+IFERROR((T60/U60)*(T60/$O$60),0)</f>
        <v>0</v>
      </c>
      <c r="W60" s="99"/>
      <c r="X60" s="86"/>
      <c r="Y60" s="87">
        <f>+IFERROR((W60/X60)*(W60/$O$60),0)</f>
        <v>0</v>
      </c>
      <c r="Z60" s="105"/>
      <c r="AA60" s="86"/>
      <c r="AB60" s="87">
        <f>+IFERROR((Z60/AA60)*(Z60/$O$60),0)</f>
        <v>0</v>
      </c>
      <c r="AC60" s="98"/>
      <c r="AD60" s="86"/>
      <c r="AE60" s="87">
        <f>+IFERROR((AC60/AD60)*(AC60/$O$60),0)</f>
        <v>0</v>
      </c>
      <c r="AF60" s="93">
        <f>IF(Y60+AB60+AE6+V60&gt;100%,100%,Y60+AB60+AE6+V60)</f>
        <v>0</v>
      </c>
      <c r="AG60" s="164">
        <f>+(AF60+AF61+AF62+AF63+AF64+AF65)/6</f>
        <v>9.1269841269841279E-2</v>
      </c>
      <c r="AH60" s="95" t="s">
        <v>134</v>
      </c>
      <c r="AI60" s="97" t="s">
        <v>134</v>
      </c>
      <c r="AJ60" s="68" t="s">
        <v>520</v>
      </c>
      <c r="AK60" s="152" t="s">
        <v>521</v>
      </c>
      <c r="AL60" s="96"/>
      <c r="AM60" s="96"/>
      <c r="AN60" s="96"/>
      <c r="AO60" s="96"/>
      <c r="AP60" s="96"/>
      <c r="AQ60" s="96"/>
      <c r="AR60" s="15"/>
    </row>
    <row r="61" spans="1:44" s="72" customFormat="1" ht="127.5" customHeight="1" thickBot="1" x14ac:dyDescent="0.25">
      <c r="A61" s="108">
        <v>51</v>
      </c>
      <c r="B61" s="74" t="s">
        <v>397</v>
      </c>
      <c r="C61" s="74" t="s">
        <v>80</v>
      </c>
      <c r="D61" s="82" t="s">
        <v>256</v>
      </c>
      <c r="E61" s="74" t="s">
        <v>194</v>
      </c>
      <c r="F61" s="74" t="s">
        <v>135</v>
      </c>
      <c r="G61" s="74" t="s">
        <v>280</v>
      </c>
      <c r="H61" s="74" t="s">
        <v>444</v>
      </c>
      <c r="I61" s="74" t="s">
        <v>281</v>
      </c>
      <c r="J61" s="74" t="s">
        <v>398</v>
      </c>
      <c r="K61" s="74" t="s">
        <v>41</v>
      </c>
      <c r="L61" s="74" t="s">
        <v>137</v>
      </c>
      <c r="M61" s="74" t="s">
        <v>301</v>
      </c>
      <c r="N61" s="74" t="s">
        <v>302</v>
      </c>
      <c r="O61" s="83">
        <v>2</v>
      </c>
      <c r="P61" s="84">
        <v>0.5</v>
      </c>
      <c r="Q61" s="74" t="s">
        <v>466</v>
      </c>
      <c r="R61" s="85">
        <v>45292</v>
      </c>
      <c r="S61" s="85">
        <v>45657</v>
      </c>
      <c r="T61" s="104"/>
      <c r="U61" s="86">
        <v>1</v>
      </c>
      <c r="V61" s="87">
        <f>IFERROR((T61/U61)*$P$61,0)</f>
        <v>0</v>
      </c>
      <c r="W61" s="99"/>
      <c r="X61" s="86"/>
      <c r="Y61" s="87" t="s">
        <v>197</v>
      </c>
      <c r="Z61" s="105"/>
      <c r="AA61" s="86"/>
      <c r="AB61" s="87">
        <f>IFERROR((Z61/AA61)*$P$61,0)</f>
        <v>0</v>
      </c>
      <c r="AC61" s="98"/>
      <c r="AD61" s="86"/>
      <c r="AE61" s="87" t="s">
        <v>197</v>
      </c>
      <c r="AF61" s="93">
        <f>+V61+AB61</f>
        <v>0</v>
      </c>
      <c r="AG61" s="165"/>
      <c r="AH61" s="95" t="s">
        <v>134</v>
      </c>
      <c r="AI61" s="97" t="s">
        <v>134</v>
      </c>
      <c r="AJ61" s="68" t="s">
        <v>462</v>
      </c>
      <c r="AK61" s="152" t="s">
        <v>576</v>
      </c>
      <c r="AL61" s="96"/>
      <c r="AM61" s="96"/>
      <c r="AN61" s="96"/>
      <c r="AO61" s="96"/>
      <c r="AP61" s="96"/>
      <c r="AQ61" s="96"/>
      <c r="AR61" s="15"/>
    </row>
    <row r="62" spans="1:44" s="73" customFormat="1" ht="77.25" thickBot="1" x14ac:dyDescent="0.25">
      <c r="A62" s="108">
        <v>52</v>
      </c>
      <c r="B62" s="74" t="s">
        <v>397</v>
      </c>
      <c r="C62" s="74" t="s">
        <v>80</v>
      </c>
      <c r="D62" s="82" t="s">
        <v>256</v>
      </c>
      <c r="E62" s="74" t="s">
        <v>194</v>
      </c>
      <c r="F62" s="74" t="s">
        <v>135</v>
      </c>
      <c r="G62" s="74" t="s">
        <v>399</v>
      </c>
      <c r="H62" s="74" t="s">
        <v>260</v>
      </c>
      <c r="I62" s="74" t="s">
        <v>403</v>
      </c>
      <c r="J62" s="74" t="s">
        <v>180</v>
      </c>
      <c r="K62" s="74" t="s">
        <v>41</v>
      </c>
      <c r="L62" s="74" t="s">
        <v>139</v>
      </c>
      <c r="M62" s="74" t="s">
        <v>140</v>
      </c>
      <c r="N62" s="74" t="s">
        <v>400</v>
      </c>
      <c r="O62" s="83">
        <v>9</v>
      </c>
      <c r="P62" s="84">
        <v>0.25</v>
      </c>
      <c r="Q62" s="74" t="s">
        <v>141</v>
      </c>
      <c r="R62" s="85">
        <v>45292</v>
      </c>
      <c r="S62" s="85">
        <v>45657</v>
      </c>
      <c r="T62" s="104">
        <v>6</v>
      </c>
      <c r="U62" s="86">
        <v>7</v>
      </c>
      <c r="V62" s="87">
        <f>+IFERROR((T62/U62)*($P$62),0)</f>
        <v>0.21428571428571427</v>
      </c>
      <c r="W62" s="99"/>
      <c r="X62" s="86"/>
      <c r="Y62" s="87">
        <f>+IFERROR((W62/X62)*($P$62),0)</f>
        <v>0</v>
      </c>
      <c r="Z62" s="105"/>
      <c r="AA62" s="86"/>
      <c r="AB62" s="87">
        <f>+IFERROR((Z62/AA62)*($P$62),0)</f>
        <v>0</v>
      </c>
      <c r="AC62" s="98"/>
      <c r="AD62" s="86"/>
      <c r="AE62" s="87">
        <f>+IFERROR((AC62/AD62)*($P$62),0)</f>
        <v>0</v>
      </c>
      <c r="AF62" s="93">
        <f t="shared" si="2"/>
        <v>0.21428571428571427</v>
      </c>
      <c r="AG62" s="165"/>
      <c r="AH62" s="95" t="s">
        <v>134</v>
      </c>
      <c r="AI62" s="97" t="s">
        <v>134</v>
      </c>
      <c r="AJ62" s="68" t="s">
        <v>522</v>
      </c>
      <c r="AK62" s="152" t="s">
        <v>559</v>
      </c>
      <c r="AL62" s="96"/>
      <c r="AM62" s="96"/>
      <c r="AN62" s="96"/>
      <c r="AO62" s="96"/>
      <c r="AP62" s="96"/>
      <c r="AQ62" s="96"/>
      <c r="AR62" s="56"/>
    </row>
    <row r="63" spans="1:44" s="73" customFormat="1" ht="77.25" thickBot="1" x14ac:dyDescent="0.25">
      <c r="A63" s="108">
        <v>53</v>
      </c>
      <c r="B63" s="74" t="s">
        <v>257</v>
      </c>
      <c r="C63" s="74" t="s">
        <v>80</v>
      </c>
      <c r="D63" s="82" t="s">
        <v>256</v>
      </c>
      <c r="E63" s="74" t="s">
        <v>194</v>
      </c>
      <c r="F63" s="74" t="s">
        <v>135</v>
      </c>
      <c r="G63" s="74" t="s">
        <v>404</v>
      </c>
      <c r="H63" s="74" t="s">
        <v>406</v>
      </c>
      <c r="I63" s="74" t="s">
        <v>142</v>
      </c>
      <c r="J63" s="74" t="s">
        <v>405</v>
      </c>
      <c r="K63" s="74" t="s">
        <v>31</v>
      </c>
      <c r="L63" s="74" t="s">
        <v>137</v>
      </c>
      <c r="M63" s="74" t="s">
        <v>33</v>
      </c>
      <c r="N63" s="74" t="s">
        <v>407</v>
      </c>
      <c r="O63" s="83" t="s">
        <v>143</v>
      </c>
      <c r="P63" s="84">
        <v>0.25</v>
      </c>
      <c r="Q63" s="74" t="s">
        <v>141</v>
      </c>
      <c r="R63" s="85">
        <v>45292</v>
      </c>
      <c r="S63" s="85">
        <v>45657</v>
      </c>
      <c r="T63" s="104"/>
      <c r="U63" s="86"/>
      <c r="V63" s="87">
        <f>+IFERROR((T63/U63)*($P$63),0)</f>
        <v>0</v>
      </c>
      <c r="W63" s="99"/>
      <c r="X63" s="86"/>
      <c r="Y63" s="87">
        <f>+IFERROR((W63/X63)*($P$63),0)</f>
        <v>0</v>
      </c>
      <c r="Z63" s="105"/>
      <c r="AA63" s="86"/>
      <c r="AB63" s="87">
        <f>+IFERROR((Z63/AA63)*($P$63),0)</f>
        <v>0</v>
      </c>
      <c r="AC63" s="98"/>
      <c r="AD63" s="86"/>
      <c r="AE63" s="87">
        <f>+IFERROR((AC63/AD63)*($P$63),0)</f>
        <v>0</v>
      </c>
      <c r="AF63" s="93">
        <f t="shared" si="2"/>
        <v>0</v>
      </c>
      <c r="AG63" s="165"/>
      <c r="AH63" s="95" t="s">
        <v>134</v>
      </c>
      <c r="AI63" s="97" t="s">
        <v>134</v>
      </c>
      <c r="AJ63" s="68" t="s">
        <v>577</v>
      </c>
      <c r="AK63" s="152" t="s">
        <v>560</v>
      </c>
      <c r="AL63" s="96"/>
      <c r="AM63" s="96"/>
      <c r="AN63" s="96"/>
      <c r="AO63" s="96"/>
      <c r="AP63" s="96"/>
      <c r="AQ63" s="96"/>
      <c r="AR63" s="56"/>
    </row>
    <row r="64" spans="1:44" s="72" customFormat="1" ht="104.25" customHeight="1" thickBot="1" x14ac:dyDescent="0.25">
      <c r="A64" s="108">
        <v>54</v>
      </c>
      <c r="B64" s="74" t="s">
        <v>397</v>
      </c>
      <c r="C64" s="74" t="s">
        <v>80</v>
      </c>
      <c r="D64" s="82" t="s">
        <v>256</v>
      </c>
      <c r="E64" s="74" t="s">
        <v>194</v>
      </c>
      <c r="F64" s="74" t="s">
        <v>135</v>
      </c>
      <c r="G64" s="74" t="s">
        <v>144</v>
      </c>
      <c r="H64" s="74" t="s">
        <v>145</v>
      </c>
      <c r="I64" s="74" t="s">
        <v>408</v>
      </c>
      <c r="J64" s="74" t="s">
        <v>198</v>
      </c>
      <c r="K64" s="74" t="s">
        <v>41</v>
      </c>
      <c r="L64" s="74" t="s">
        <v>137</v>
      </c>
      <c r="M64" s="74">
        <v>4</v>
      </c>
      <c r="N64" s="74" t="s">
        <v>303</v>
      </c>
      <c r="O64" s="83">
        <v>4</v>
      </c>
      <c r="P64" s="84">
        <v>0.25</v>
      </c>
      <c r="Q64" s="74" t="s">
        <v>141</v>
      </c>
      <c r="R64" s="85">
        <v>45292</v>
      </c>
      <c r="S64" s="85">
        <v>45657</v>
      </c>
      <c r="T64" s="104">
        <v>1</v>
      </c>
      <c r="U64" s="86">
        <v>1</v>
      </c>
      <c r="V64" s="87">
        <f>+IFERROR((T64/U64)*$P$64,0)</f>
        <v>0.25</v>
      </c>
      <c r="W64" s="99"/>
      <c r="X64" s="86">
        <v>1</v>
      </c>
      <c r="Y64" s="87">
        <f>+IFERROR((W64/X64)*$P$64,0)</f>
        <v>0</v>
      </c>
      <c r="Z64" s="105"/>
      <c r="AA64" s="86">
        <v>1</v>
      </c>
      <c r="AB64" s="87">
        <f>+IFERROR((Z64/AA64)*$P$64,0)</f>
        <v>0</v>
      </c>
      <c r="AC64" s="98"/>
      <c r="AD64" s="86">
        <v>1</v>
      </c>
      <c r="AE64" s="87">
        <f>+IFERROR((AC64/AD64)*$P$64,0)</f>
        <v>0</v>
      </c>
      <c r="AF64" s="93">
        <f t="shared" si="2"/>
        <v>0.25</v>
      </c>
      <c r="AG64" s="165"/>
      <c r="AH64" s="95" t="s">
        <v>134</v>
      </c>
      <c r="AI64" s="97" t="s">
        <v>134</v>
      </c>
      <c r="AJ64" s="68" t="s">
        <v>523</v>
      </c>
      <c r="AK64" s="152" t="s">
        <v>524</v>
      </c>
      <c r="AL64" s="96"/>
      <c r="AM64" s="96"/>
      <c r="AN64" s="96"/>
      <c r="AO64" s="96"/>
      <c r="AP64" s="96"/>
      <c r="AQ64" s="96"/>
      <c r="AR64" s="15"/>
    </row>
    <row r="65" spans="1:44" s="73" customFormat="1" ht="96.75" customHeight="1" thickBot="1" x14ac:dyDescent="0.25">
      <c r="A65" s="108">
        <v>55</v>
      </c>
      <c r="B65" s="74" t="s">
        <v>397</v>
      </c>
      <c r="C65" s="74" t="s">
        <v>80</v>
      </c>
      <c r="D65" s="82" t="s">
        <v>256</v>
      </c>
      <c r="E65" s="74" t="s">
        <v>194</v>
      </c>
      <c r="F65" s="74" t="s">
        <v>135</v>
      </c>
      <c r="G65" s="74" t="s">
        <v>146</v>
      </c>
      <c r="H65" s="74" t="s">
        <v>147</v>
      </c>
      <c r="I65" s="74" t="s">
        <v>409</v>
      </c>
      <c r="J65" s="74" t="s">
        <v>401</v>
      </c>
      <c r="K65" s="74" t="s">
        <v>41</v>
      </c>
      <c r="L65" s="74" t="s">
        <v>137</v>
      </c>
      <c r="M65" s="74" t="s">
        <v>181</v>
      </c>
      <c r="N65" s="74" t="s">
        <v>402</v>
      </c>
      <c r="O65" s="122">
        <v>1</v>
      </c>
      <c r="P65" s="84">
        <v>0.25</v>
      </c>
      <c r="Q65" s="74" t="s">
        <v>138</v>
      </c>
      <c r="R65" s="85">
        <v>45292</v>
      </c>
      <c r="S65" s="85">
        <v>45657</v>
      </c>
      <c r="T65" s="104">
        <v>1</v>
      </c>
      <c r="U65" s="86">
        <v>3</v>
      </c>
      <c r="V65" s="87">
        <f>+IFERROR((T65/U65)*$P$65,0)</f>
        <v>8.3333333333333329E-2</v>
      </c>
      <c r="W65" s="99"/>
      <c r="X65" s="86">
        <v>3</v>
      </c>
      <c r="Y65" s="87">
        <f>+IFERROR((W65/X65)*$P$65,0)</f>
        <v>0</v>
      </c>
      <c r="Z65" s="105"/>
      <c r="AA65" s="86">
        <v>3</v>
      </c>
      <c r="AB65" s="87">
        <f>+IFERROR((Z65/AA65)*$P$65,0)</f>
        <v>0</v>
      </c>
      <c r="AC65" s="98"/>
      <c r="AD65" s="86">
        <v>3</v>
      </c>
      <c r="AE65" s="87">
        <f>+IFERROR((AC65/AD65)*$P$65,0)</f>
        <v>0</v>
      </c>
      <c r="AF65" s="93">
        <f t="shared" si="2"/>
        <v>8.3333333333333329E-2</v>
      </c>
      <c r="AG65" s="166"/>
      <c r="AH65" s="95" t="s">
        <v>134</v>
      </c>
      <c r="AI65" s="95" t="s">
        <v>134</v>
      </c>
      <c r="AJ65" s="237" t="s">
        <v>463</v>
      </c>
      <c r="AK65" s="238"/>
      <c r="AL65" s="96"/>
      <c r="AM65" s="96"/>
      <c r="AN65" s="96"/>
      <c r="AO65" s="96"/>
      <c r="AP65" s="96"/>
      <c r="AQ65" s="96"/>
      <c r="AR65" s="56"/>
    </row>
    <row r="66" spans="1:44" ht="15" customHeight="1" x14ac:dyDescent="0.25">
      <c r="AG66" s="19"/>
    </row>
    <row r="67" spans="1:44" ht="15" hidden="1" customHeight="1" x14ac:dyDescent="0.25">
      <c r="AQ67" s="2" t="s">
        <v>261</v>
      </c>
    </row>
    <row r="68" spans="1:44" ht="15" customHeight="1" x14ac:dyDescent="0.25"/>
    <row r="69" spans="1:44" ht="15" customHeight="1" x14ac:dyDescent="0.25"/>
    <row r="70" spans="1:44" ht="15" customHeight="1" x14ac:dyDescent="0.25"/>
    <row r="71" spans="1:44" ht="15" customHeight="1" x14ac:dyDescent="0.25"/>
  </sheetData>
  <mergeCells count="30">
    <mergeCell ref="A2:A7"/>
    <mergeCell ref="D7:P7"/>
    <mergeCell ref="R7:AI7"/>
    <mergeCell ref="Q9:S9"/>
    <mergeCell ref="T9:V9"/>
    <mergeCell ref="W9:Y9"/>
    <mergeCell ref="Z9:AB9"/>
    <mergeCell ref="AC9:AE9"/>
    <mergeCell ref="H9:N9"/>
    <mergeCell ref="D6:P6"/>
    <mergeCell ref="B2:E4"/>
    <mergeCell ref="A9:G9"/>
    <mergeCell ref="O9:P9"/>
    <mergeCell ref="AF9:AQ9"/>
    <mergeCell ref="F2:AP3"/>
    <mergeCell ref="F4:AP4"/>
    <mergeCell ref="AJ6:AQ6"/>
    <mergeCell ref="AJ7:AQ7"/>
    <mergeCell ref="R6:AI6"/>
    <mergeCell ref="AG57:AG58"/>
    <mergeCell ref="AG60:AG65"/>
    <mergeCell ref="AG43:AG50"/>
    <mergeCell ref="AG22:AG26"/>
    <mergeCell ref="AG32:AG36"/>
    <mergeCell ref="AG29:AG31"/>
    <mergeCell ref="AG37:AG42"/>
    <mergeCell ref="AG51:AG56"/>
    <mergeCell ref="AG15:AG18"/>
    <mergeCell ref="AG11:AG14"/>
    <mergeCell ref="AG19:AG21"/>
  </mergeCells>
  <dataValidations count="1">
    <dataValidation type="list" allowBlank="1" showErrorMessage="1" sqref="L15:L28 L43 L31:L36 L57:L65" xr:uid="{00000000-0002-0000-0000-000000000000}">
      <formula1>#REF!</formula1>
    </dataValidation>
  </dataValidations>
  <pageMargins left="0.70866141732283472" right="0.70866141732283472" top="0.74803149606299213" bottom="0.74803149606299213" header="0" footer="0"/>
  <pageSetup paperSize="9" scale="1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10"/>
  <sheetViews>
    <sheetView topLeftCell="C1" zoomScale="90" zoomScaleNormal="90" workbookViewId="0">
      <selection activeCell="I4" sqref="I4:L4"/>
    </sheetView>
  </sheetViews>
  <sheetFormatPr baseColWidth="10" defaultColWidth="10.85546875" defaultRowHeight="14.25" x14ac:dyDescent="0.2"/>
  <cols>
    <col min="1" max="1" width="10.85546875" style="21"/>
    <col min="2" max="2" width="62.85546875" style="21" bestFit="1" customWidth="1"/>
    <col min="3" max="6" width="10.85546875" style="21"/>
    <col min="7" max="7" width="16.7109375" style="21" customWidth="1"/>
    <col min="8" max="8" width="6" style="21" customWidth="1"/>
    <col min="9" max="12" width="20.7109375" style="21" customWidth="1"/>
    <col min="13" max="16384" width="10.85546875" style="21"/>
  </cols>
  <sheetData>
    <row r="1" spans="2:12" ht="15" thickBot="1" x14ac:dyDescent="0.25"/>
    <row r="2" spans="2:12" ht="15.75" thickBot="1" x14ac:dyDescent="0.3">
      <c r="B2" s="233" t="s">
        <v>174</v>
      </c>
      <c r="C2" s="233"/>
      <c r="D2" s="233"/>
      <c r="E2" s="233"/>
      <c r="F2" s="233"/>
      <c r="G2" s="233"/>
      <c r="I2" s="233" t="s">
        <v>535</v>
      </c>
      <c r="J2" s="233"/>
      <c r="K2" s="233"/>
      <c r="L2" s="233"/>
    </row>
    <row r="3" spans="2:12" ht="45.75" thickBot="1" x14ac:dyDescent="0.25">
      <c r="B3" s="46" t="s">
        <v>164</v>
      </c>
      <c r="C3" s="46" t="s">
        <v>165</v>
      </c>
      <c r="D3" s="46" t="s">
        <v>166</v>
      </c>
      <c r="E3" s="46" t="s">
        <v>167</v>
      </c>
      <c r="F3" s="46" t="s">
        <v>168</v>
      </c>
      <c r="G3" s="46" t="s">
        <v>410</v>
      </c>
      <c r="I3" s="133" t="s">
        <v>531</v>
      </c>
      <c r="J3" s="133" t="s">
        <v>532</v>
      </c>
      <c r="K3" s="133" t="s">
        <v>533</v>
      </c>
      <c r="L3" s="133" t="s">
        <v>534</v>
      </c>
    </row>
    <row r="4" spans="2:12" ht="39" thickBot="1" x14ac:dyDescent="0.25">
      <c r="B4" s="43" t="str">
        <f>+'Plan de acción 2024'!G37</f>
        <v>Seguimiento Plan Anual de mantenimiento de la infraetructura física  de la entidad y realizar el seguimiento de acuerdo al cronograma de actividades</v>
      </c>
      <c r="C4" s="48" t="str">
        <f>+'Plan de acción 2024'!V37</f>
        <v>N/A</v>
      </c>
      <c r="D4" s="49">
        <f>+'Plan de acción 2024'!Y37</f>
        <v>0</v>
      </c>
      <c r="E4" s="49">
        <f>+'Plan de acción 2024'!AB37</f>
        <v>0</v>
      </c>
      <c r="F4" s="49">
        <f>+'Plan de acción 2024'!AE37</f>
        <v>0</v>
      </c>
      <c r="G4" s="48">
        <f>SUMIF(C4:F4,"&gt;0",C4:F4)</f>
        <v>0</v>
      </c>
      <c r="I4" s="143" t="str">
        <f>IF('Plan de acción 2024'!AK37="","",'Plan de acción 2024'!AK37)</f>
        <v/>
      </c>
      <c r="J4" s="143" t="str">
        <f>IF('Plan de acción 2024'!AM37="","",'Plan de acción 2024'!AM37)</f>
        <v/>
      </c>
      <c r="K4" s="143" t="str">
        <f>IF('Plan de acción 2024'!AO37="","",'Plan de acción 2024'!AO37)</f>
        <v/>
      </c>
      <c r="L4" s="143" t="str">
        <f>IF('Plan de acción 2024'!AQ37="","",'Plan de acción 2024'!AQ37)</f>
        <v/>
      </c>
    </row>
    <row r="5" spans="2:12" ht="26.25" thickBot="1" x14ac:dyDescent="0.25">
      <c r="B5" s="43" t="str">
        <f>+'Plan de acción 2024'!G38</f>
        <v>Informe semestral de seguimiento a la Inspección preoperativa del parque automotor de la Entidad</v>
      </c>
      <c r="C5" s="48" t="str">
        <f>+'Plan de acción 2024'!V38</f>
        <v>NA</v>
      </c>
      <c r="D5" s="49">
        <f>+'Plan de acción 2024'!Y38</f>
        <v>0</v>
      </c>
      <c r="E5" s="49" t="str">
        <f>+'Plan de acción 2024'!AB38</f>
        <v>NA</v>
      </c>
      <c r="F5" s="49">
        <f>+'Plan de acción 2024'!AE38</f>
        <v>0</v>
      </c>
      <c r="G5" s="48">
        <f t="shared" ref="G5:G9" si="0">SUMIF(C5:F5,"&gt;0",C5:F5)</f>
        <v>0</v>
      </c>
      <c r="I5" s="143" t="str">
        <f>IF('Plan de acción 2024'!AK38="","",'Plan de acción 2024'!AK38)</f>
        <v>Para el primer trimestre de 2024, no había actividades programadas relacionadas con el mantenimiento del parque automotor. Por lo tanto, la interrupción y reanudación del proceso no afectaron el indicador de este trimestre. Se recomienda retomar el proceso para el siguiente trimestre.</v>
      </c>
      <c r="J5" s="143" t="str">
        <f>IF('Plan de acción 2024'!AM38="","",'Plan de acción 2024'!AM38)</f>
        <v/>
      </c>
      <c r="K5" s="143" t="str">
        <f>IF('Plan de acción 2024'!AO38="","",'Plan de acción 2024'!AO38)</f>
        <v/>
      </c>
      <c r="L5" s="143" t="str">
        <f>IF('Plan de acción 2024'!AQ38="","",'Plan de acción 2024'!AQ38)</f>
        <v/>
      </c>
    </row>
    <row r="6" spans="2:12" ht="36" customHeight="1" thickBot="1" x14ac:dyDescent="0.25">
      <c r="B6" s="43" t="str">
        <f>+'Plan de acción 2024'!G39</f>
        <v>Elaborar y hacer seguimiento al estudio de la necesidad de compra de elementos de consumo y papelería de la entidad</v>
      </c>
      <c r="C6" s="48">
        <f>+'Plan de acción 2024'!V39</f>
        <v>0.25</v>
      </c>
      <c r="D6" s="49">
        <f>+'Plan de acción 2024'!Y39</f>
        <v>0</v>
      </c>
      <c r="E6" s="49">
        <f>+'Plan de acción 2024'!AB39</f>
        <v>0</v>
      </c>
      <c r="F6" s="49">
        <f>+'Plan de acción 2024'!AE39</f>
        <v>0</v>
      </c>
      <c r="G6" s="48">
        <f t="shared" si="0"/>
        <v>0.25</v>
      </c>
      <c r="I6" s="143" t="str">
        <f>IF('Plan de acción 2024'!AK39="","",'Plan de acción 2024'!AK39)</f>
        <v xml:space="preserve">
El indicador de suministro de papeleria y elementos, cumple satisfactoriamente el objetivo ya que se evidencia la recepción de 3 solicitudes. Sin embargo, no es suficiente la información para proyectar el estudio de necesidad. Se recomienda fomentar activamente la presentación de solicitudes por parte de todas las áreas de la entidad para obtener una visión completa de las necesidades de suministros. Así como mejorar su recepción y que estas sean firmadas por cada lider de proceso.</v>
      </c>
      <c r="J6" s="143" t="str">
        <f>IF('Plan de acción 2024'!AM39="","",'Plan de acción 2024'!AM39)</f>
        <v/>
      </c>
      <c r="K6" s="143" t="str">
        <f>IF('Plan de acción 2024'!AO39="","",'Plan de acción 2024'!AO39)</f>
        <v/>
      </c>
      <c r="L6" s="143" t="str">
        <f>IF('Plan de acción 2024'!AQ39="","",'Plan de acción 2024'!AQ39)</f>
        <v/>
      </c>
    </row>
    <row r="7" spans="2:12" ht="36" customHeight="1" thickBot="1" x14ac:dyDescent="0.25">
      <c r="B7" s="43" t="str">
        <f>+'Plan de acción 2024'!G40</f>
        <v>Actualizar semestralmente los inventarios  individuales de los funcionarios de la Entidad, los cuales deben estar firmados por el funcionario responsable.</v>
      </c>
      <c r="C7" s="48" t="str">
        <f>+'Plan de acción 2024'!V40</f>
        <v>N/A</v>
      </c>
      <c r="D7" s="49">
        <f>+'Plan de acción 2024'!Y40</f>
        <v>0</v>
      </c>
      <c r="E7" s="49" t="str">
        <f>+'Plan de acción 2024'!AB40</f>
        <v>N/A</v>
      </c>
      <c r="F7" s="49">
        <f>+'Plan de acción 2024'!AE40</f>
        <v>0</v>
      </c>
      <c r="G7" s="48">
        <f t="shared" si="0"/>
        <v>0</v>
      </c>
      <c r="I7" s="143" t="str">
        <f>IF('Plan de acción 2024'!AK40="","",'Plan de acción 2024'!AK40)</f>
        <v xml:space="preserve">
Comenzar a recopilar información para actualizar los inventarios devolutivos es un paso importante para gestionar los recursos de la entidad de manera eficiente y transparente. Este procedimiento asegurará que los inventarios estén actualizados al 30 de junio de 2024, lo que permitirá un control riguroso y preciso de los bienes asignados a los funcionarios.</v>
      </c>
      <c r="J7" s="143" t="str">
        <f>IF('Plan de acción 2024'!AM40="","",'Plan de acción 2024'!AM40)</f>
        <v/>
      </c>
      <c r="K7" s="143" t="str">
        <f>IF('Plan de acción 2024'!AO40="","",'Plan de acción 2024'!AO40)</f>
        <v/>
      </c>
      <c r="L7" s="143" t="str">
        <f>IF('Plan de acción 2024'!AQ40="","",'Plan de acción 2024'!AQ40)</f>
        <v/>
      </c>
    </row>
    <row r="8" spans="2:12" ht="26.25" thickBot="1" x14ac:dyDescent="0.25">
      <c r="B8" s="43" t="str">
        <f>+'Plan de acción 2024'!G41</f>
        <v xml:space="preserve">Verificar los elementos de consumo y devolutivos de acuerdo al reporte generado por Novasoft frente al fisico. </v>
      </c>
      <c r="C8" s="48">
        <f>+'Plan de acción 2024'!V41</f>
        <v>0.25</v>
      </c>
      <c r="D8" s="49">
        <f>+'Plan de acción 2024'!Y41</f>
        <v>0</v>
      </c>
      <c r="E8" s="49">
        <f>+'Plan de acción 2024'!AB41</f>
        <v>0</v>
      </c>
      <c r="F8" s="49">
        <f>+'Plan de acción 2024'!AE41</f>
        <v>0</v>
      </c>
      <c r="G8" s="48">
        <f t="shared" si="0"/>
        <v>0.25</v>
      </c>
      <c r="I8" s="143" t="str">
        <f>IF('Plan de acción 2024'!AK41="","",'Plan de acción 2024'!AK41)</f>
        <v>El seguimiento realizado demuestra que el indicador de verificación de elementos devolutivos y de consumo se cumplió satisfactoriamente durante el primer trimestre de 2024. Todas las entradas y salidas fueron registradas correctamente, incluyendo detalles como descripción del elemento, cantidad y valor. Se recomienda al proceso verificar si existe un reporte con información de fecha de ingreso y salida de cada elemento..</v>
      </c>
      <c r="J8" s="143" t="str">
        <f>IF('Plan de acción 2024'!AM41="","",'Plan de acción 2024'!AM41)</f>
        <v/>
      </c>
      <c r="K8" s="143" t="str">
        <f>IF('Plan de acción 2024'!AO41="","",'Plan de acción 2024'!AO41)</f>
        <v/>
      </c>
      <c r="L8" s="143" t="str">
        <f>IF('Plan de acción 2024'!AQ41="","",'Plan de acción 2024'!AQ41)</f>
        <v/>
      </c>
    </row>
    <row r="9" spans="2:12" ht="27" customHeight="1" thickBot="1" x14ac:dyDescent="0.25">
      <c r="B9" s="43" t="str">
        <f>+'Plan de acción 2024'!G42</f>
        <v>Elaborar y/o actualizar el Plan institucional de Gestión Ambiental y publicarlo en la página web de la Entidad</v>
      </c>
      <c r="C9" s="48">
        <f>+'Plan de acción 2024'!V42</f>
        <v>0</v>
      </c>
      <c r="D9" s="49">
        <f>+'Plan de acción 2024'!Y42</f>
        <v>0</v>
      </c>
      <c r="E9" s="49">
        <f>+'Plan de acción 2024'!AB42</f>
        <v>0</v>
      </c>
      <c r="F9" s="49">
        <f>+'Plan de acción 2024'!AE42</f>
        <v>0</v>
      </c>
      <c r="G9" s="48">
        <f t="shared" si="0"/>
        <v>0</v>
      </c>
      <c r="I9" s="144" t="str">
        <f>IF('Plan de acción 2024'!AK42="","",'Plan de acción 2024'!AK42)</f>
        <v xml:space="preserve">Se revisó la actualización del Plan Institucional de Gestión Ambiental. Sin embargo, se sugiere que este aprobado y socializado con la subgerente Adminsitrativa y Financiera para asegurar que todas las actividades se lleven a cabo adecuadamente. Esto garantizará la alineación del plan con los objetivos estratégicos de la entidad y permitirá una implementación coordinada de las acciones previstas. </v>
      </c>
      <c r="J9" s="144" t="str">
        <f>IF('Plan de acción 2024'!AM42="","",'Plan de acción 2024'!AM42)</f>
        <v/>
      </c>
      <c r="K9" s="144" t="str">
        <f>IF('Plan de acción 2024'!AO42="","",'Plan de acción 2024'!AO42)</f>
        <v/>
      </c>
      <c r="L9" s="144" t="str">
        <f>IF('Plan de acción 2024'!AQ42="","",'Plan de acción 2024'!AQ42)</f>
        <v/>
      </c>
    </row>
    <row r="10" spans="2:12" ht="15.75" thickBot="1" x14ac:dyDescent="0.25">
      <c r="B10" s="35" t="s">
        <v>169</v>
      </c>
      <c r="C10" s="31">
        <f>AVERAGE(C4:C9)</f>
        <v>0.16666666666666666</v>
      </c>
      <c r="D10" s="31">
        <f>AVERAGE(D4:D9)</f>
        <v>0</v>
      </c>
      <c r="E10" s="31">
        <f>AVERAGE(E4:E9)</f>
        <v>0</v>
      </c>
      <c r="F10" s="31">
        <f>AVERAGE(F4:F9)</f>
        <v>0</v>
      </c>
      <c r="G10" s="31">
        <f>AVERAGE(G4:G9)</f>
        <v>8.3333333333333329E-2</v>
      </c>
    </row>
  </sheetData>
  <mergeCells count="2">
    <mergeCell ref="B2:G2"/>
    <mergeCell ref="I2:L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12"/>
  <sheetViews>
    <sheetView topLeftCell="C1" zoomScale="90" zoomScaleNormal="90" workbookViewId="0">
      <selection activeCell="I4" sqref="I4:L4"/>
    </sheetView>
  </sheetViews>
  <sheetFormatPr baseColWidth="10" defaultColWidth="10.85546875" defaultRowHeight="14.25" x14ac:dyDescent="0.2"/>
  <cols>
    <col min="1" max="1" width="10.85546875" style="21"/>
    <col min="2" max="2" width="46.28515625" style="21" customWidth="1"/>
    <col min="3" max="6" width="10.85546875" style="21"/>
    <col min="7" max="7" width="15.42578125" style="21" customWidth="1"/>
    <col min="8" max="8" width="6" style="21" customWidth="1"/>
    <col min="9" max="12" width="20.7109375" style="21" customWidth="1"/>
    <col min="13" max="16384" width="10.85546875" style="21"/>
  </cols>
  <sheetData>
    <row r="1" spans="2:12" ht="15" thickBot="1" x14ac:dyDescent="0.25"/>
    <row r="2" spans="2:12" ht="16.5" thickBot="1" x14ac:dyDescent="0.3">
      <c r="B2" s="234" t="s">
        <v>175</v>
      </c>
      <c r="C2" s="234"/>
      <c r="D2" s="234"/>
      <c r="E2" s="234"/>
      <c r="F2" s="234"/>
      <c r="G2" s="234"/>
      <c r="I2" s="234" t="s">
        <v>535</v>
      </c>
      <c r="J2" s="234"/>
      <c r="K2" s="234"/>
      <c r="L2" s="234"/>
    </row>
    <row r="3" spans="2:12" ht="45.75" thickBot="1" x14ac:dyDescent="0.25">
      <c r="B3" s="46" t="s">
        <v>164</v>
      </c>
      <c r="C3" s="46" t="s">
        <v>165</v>
      </c>
      <c r="D3" s="46" t="s">
        <v>166</v>
      </c>
      <c r="E3" s="46" t="s">
        <v>167</v>
      </c>
      <c r="F3" s="46" t="s">
        <v>168</v>
      </c>
      <c r="G3" s="46" t="s">
        <v>410</v>
      </c>
      <c r="I3" s="133" t="s">
        <v>531</v>
      </c>
      <c r="J3" s="133" t="s">
        <v>532</v>
      </c>
      <c r="K3" s="133" t="s">
        <v>533</v>
      </c>
      <c r="L3" s="133" t="s">
        <v>534</v>
      </c>
    </row>
    <row r="4" spans="2:12" ht="39" thickBot="1" x14ac:dyDescent="0.25">
      <c r="B4" s="43" t="str">
        <f>+'Plan de acción 2024'!G43</f>
        <v xml:space="preserve">Elaborar, implementar y realizar seguimiento el Plan Institucional de Capacitación  (PIC) para los funcionarios de la CSC </v>
      </c>
      <c r="C4" s="47">
        <f>+'Plan de acción 2024'!V43</f>
        <v>0</v>
      </c>
      <c r="D4" s="49">
        <f>+'Plan de acción 2024'!Y43</f>
        <v>0</v>
      </c>
      <c r="E4" s="49">
        <f>+'Plan de acción 2024'!AB43</f>
        <v>0</v>
      </c>
      <c r="F4" s="49">
        <f>+'Plan de acción 2024'!AE43</f>
        <v>0</v>
      </c>
      <c r="G4" s="49">
        <f>SUMIF(C4:F4,"&gt;0",C4:F4)</f>
        <v>0</v>
      </c>
      <c r="I4" s="143" t="str">
        <f>IF('Plan de acción 2024'!AK43="","",'Plan de acción 2024'!AK43)</f>
        <v>Se evidencia la actualización y publicación del Plan de Capacitación para la vigencia 2024, en la web de la entidad. Sin embargo, no se realizó una capacitación prevista en el primer trimestre de 2024 debido a los cambios administrativos y ajustes presupuestales. Se espera que en la actualización tano del plan como del cronograma aprobado el 29 de abril de 2024 en el comitè Institucional de Gestión y Desempeño permita reprogramar las actividades de capacitación pendientes.</v>
      </c>
      <c r="J4" s="143" t="str">
        <f>IF('Plan de acción 2024'!AM43="","",'Plan de acción 2024'!AM43)</f>
        <v/>
      </c>
      <c r="K4" s="143" t="str">
        <f>IF('Plan de acción 2024'!AO43="","",'Plan de acción 2024'!AO43)</f>
        <v/>
      </c>
      <c r="L4" s="143" t="str">
        <f>IF('Plan de acción 2024'!AQ43="","",'Plan de acción 2024'!AQ43)</f>
        <v/>
      </c>
    </row>
    <row r="5" spans="2:12" ht="64.5" thickBot="1" x14ac:dyDescent="0.25">
      <c r="B5" s="43" t="str">
        <f>+'Plan de acción 2024'!G44</f>
        <v>Elaborar y realizar el seguimiento al Plan de Bienestar e incentivos de la CSC ajustado a los lineamientos normativos, conceptuales y dimensiones estratégicas adoptadas como resultado del diagnóstico institucional.</v>
      </c>
      <c r="C5" s="47">
        <f>+'Plan de acción 2024'!V44</f>
        <v>5.6140350877192984E-2</v>
      </c>
      <c r="D5" s="49">
        <f>+'Plan de acción 2024'!Y44</f>
        <v>0</v>
      </c>
      <c r="E5" s="49">
        <f>+'Plan de acción 2024'!AB44</f>
        <v>0</v>
      </c>
      <c r="F5" s="49">
        <f>+'Plan de acción 2024'!AE44</f>
        <v>0</v>
      </c>
      <c r="G5" s="49">
        <f t="shared" ref="G5:G11" si="0">SUMIF(C5:F5,"&gt;0",C5:F5)</f>
        <v>5.6140350877192984E-2</v>
      </c>
      <c r="I5" s="143" t="str">
        <f>IF('Plan de acción 2024'!AK44="","",'Plan de acción 2024'!AK44)</f>
        <v>El primer trimestre de 2024 evidenció un cumplimiento satisfactorio en la ejecución de las actividades del Plan de Bienestar, con 4 de las 5 actividades programadas las cuales se realizaron exitosamente. Esto demuestra el compromiso de la entidad con el bienestar de sus funcionarios, a pesar de que una actividad relacionada con la medición del clima laboral quedó pendiente. Se recomienda priorizar la ejecución de dicha actividad para asegurar la ejecución completa y a tiempo del Plan de Bienestar.</v>
      </c>
      <c r="J5" s="143" t="str">
        <f>IF('Plan de acción 2024'!AM44="","",'Plan de acción 2024'!AM44)</f>
        <v/>
      </c>
      <c r="K5" s="143" t="str">
        <f>IF('Plan de acción 2024'!AO44="","",'Plan de acción 2024'!AO44)</f>
        <v/>
      </c>
      <c r="L5" s="143" t="str">
        <f>IF('Plan de acción 2024'!AQ44="","",'Plan de acción 2024'!AQ44)</f>
        <v/>
      </c>
    </row>
    <row r="6" spans="2:12" ht="39" thickBot="1" x14ac:dyDescent="0.25">
      <c r="B6" s="43" t="str">
        <f>+'Plan de acción 2024'!G45</f>
        <v>Ejecutar del Programa de Seguridad y Salud en el Trabajo en CSC de conformidad con las disposiciones normativas vigentes.</v>
      </c>
      <c r="C6" s="47">
        <f>+'Plan de acción 2024'!V45</f>
        <v>0.14705882352941177</v>
      </c>
      <c r="D6" s="49">
        <f>+'Plan de acción 2024'!Y45</f>
        <v>0</v>
      </c>
      <c r="E6" s="49">
        <f>+'Plan de acción 2024'!AB45</f>
        <v>0</v>
      </c>
      <c r="F6" s="49">
        <f>+'Plan de acción 2024'!AE45</f>
        <v>0</v>
      </c>
      <c r="G6" s="49">
        <f t="shared" si="0"/>
        <v>0.14705882352941177</v>
      </c>
      <c r="I6" s="143" t="str">
        <f>IF('Plan de acción 2024'!AK45="","",'Plan de acción 2024'!AK45)</f>
        <v xml:space="preserve">
El cumplimiento total de las actividades programadas en el Plan de Seguridad y Salud en el Trabajo durante el primer trimestre de 2024 refleja un alto nivel de compromiso y eficacia en la gestión de la seguridad y salud laboral. Todas las actividades programadas se ejecutaron satisfactoriamente, proporcionando a los funcionarios y contratistas las herramientas y conocimientos necesarios para mantener un ambiente de trabajo seguro y saludable. </v>
      </c>
      <c r="J6" s="143" t="str">
        <f>IF('Plan de acción 2024'!AM45="","",'Plan de acción 2024'!AM45)</f>
        <v/>
      </c>
      <c r="K6" s="143" t="str">
        <f>IF('Plan de acción 2024'!AO45="","",'Plan de acción 2024'!AO45)</f>
        <v/>
      </c>
      <c r="L6" s="143" t="str">
        <f>IF('Plan de acción 2024'!AQ45="","",'Plan de acción 2024'!AQ45)</f>
        <v/>
      </c>
    </row>
    <row r="7" spans="2:12" ht="26.25" thickBot="1" x14ac:dyDescent="0.25">
      <c r="B7" s="43" t="str">
        <f>+'Plan de acción 2024'!G46</f>
        <v>Seguimiento al cumplimiento del cronograma de liquidación de nómina de funcionarios</v>
      </c>
      <c r="C7" s="47">
        <f>+'Plan de acción 2024'!V46</f>
        <v>0</v>
      </c>
      <c r="D7" s="49">
        <f>+'Plan de acción 2024'!Y46</f>
        <v>0</v>
      </c>
      <c r="E7" s="49">
        <f>+'Plan de acción 2024'!AB46</f>
        <v>0</v>
      </c>
      <c r="F7" s="49">
        <f>+'Plan de acción 2024'!AE46</f>
        <v>0</v>
      </c>
      <c r="G7" s="49">
        <f t="shared" si="0"/>
        <v>0</v>
      </c>
      <c r="I7" s="143" t="str">
        <f>IF('Plan de acción 2024'!AK46="","",'Plan de acción 2024'!AK46)</f>
        <v>El seguimiento a la nómina durante el primer trimestre de 2024 se realizó según lo planificado, cumpliendo con las fechas establecidas. No se presentaron solicitudes que afentaran el pago de acuerdo a lo programado.</v>
      </c>
      <c r="J7" s="143" t="str">
        <f>IF('Plan de acción 2024'!AM46="","",'Plan de acción 2024'!AM46)</f>
        <v/>
      </c>
      <c r="K7" s="143" t="str">
        <f>IF('Plan de acción 2024'!AO46="","",'Plan de acción 2024'!AO46)</f>
        <v/>
      </c>
      <c r="L7" s="143" t="str">
        <f>IF('Plan de acción 2024'!AQ46="","",'Plan de acción 2024'!AQ46)</f>
        <v/>
      </c>
    </row>
    <row r="8" spans="2:12" ht="26.25" thickBot="1" x14ac:dyDescent="0.25">
      <c r="B8" s="43" t="str">
        <f>+'Plan de acción 2024'!G47</f>
        <v>Realizar trámite de recobro de incapacidades ante las EPSs</v>
      </c>
      <c r="C8" s="47">
        <f>+'Plan de acción 2024'!V47</f>
        <v>0.25</v>
      </c>
      <c r="D8" s="49">
        <f>+'Plan de acción 2024'!Y47</f>
        <v>0</v>
      </c>
      <c r="E8" s="49">
        <f>+'Plan de acción 2024'!AB47</f>
        <v>0</v>
      </c>
      <c r="F8" s="49">
        <f>+'Plan de acción 2024'!AE47</f>
        <v>0</v>
      </c>
      <c r="G8" s="49">
        <f t="shared" si="0"/>
        <v>0.25</v>
      </c>
      <c r="I8" s="143" t="str">
        <f>IF('Plan de acción 2024'!AK47="","",'Plan de acción 2024'!AK47)</f>
        <v>La gestión de las incapacidades médicas para recobro durante el primer trimestre de 2024 ha sido efectiva, con todas las incapacidades recibidas debidamente radicadas ante las entidades correspondientes. Sin embargo, es esencial realizar un seguimiento continuo para verificar cuáles han sido pagadas y cuáles están pendientes de pago por parte de las EPS y ARL.</v>
      </c>
      <c r="J8" s="143" t="str">
        <f>IF('Plan de acción 2024'!AM47="","",'Plan de acción 2024'!AM47)</f>
        <v/>
      </c>
      <c r="K8" s="143" t="str">
        <f>IF('Plan de acción 2024'!AO47="","",'Plan de acción 2024'!AO47)</f>
        <v/>
      </c>
      <c r="L8" s="143" t="str">
        <f>IF('Plan de acción 2024'!AQ47="","",'Plan de acción 2024'!AQ47)</f>
        <v/>
      </c>
    </row>
    <row r="9" spans="2:12" ht="26.25" thickBot="1" x14ac:dyDescent="0.25">
      <c r="B9" s="43" t="str">
        <f>+'Plan de acción 2024'!G48</f>
        <v>Realizar las evaluaciones de desempeño y de rendimiento laboral de la CSC</v>
      </c>
      <c r="C9" s="47" t="str">
        <f>+'Plan de acción 2024'!V48</f>
        <v>N/A</v>
      </c>
      <c r="D9" s="49">
        <f>+'Plan de acción 2024'!Y48</f>
        <v>0</v>
      </c>
      <c r="E9" s="49">
        <f>+'Plan de acción 2024'!AB48</f>
        <v>0</v>
      </c>
      <c r="F9" s="49" t="str">
        <f>+'Plan de acción 2024'!AE48</f>
        <v>N/A</v>
      </c>
      <c r="G9" s="49">
        <f t="shared" si="0"/>
        <v>0</v>
      </c>
      <c r="I9" s="143" t="str">
        <f>IF('Plan de acción 2024'!AK48="","",'Plan de acción 2024'!AK48)</f>
        <v>El acompañamiento y la evaluación del desempeño de los funcionarios han sido llevados a cabo de manera satisfactoria durante el primer trimestre de 2024. Se evidencia la evaluación de 24 funcionarios del año 2023, y seguimiento de concertación para una nueva vigencia. Se recomienda fomentar una cultura de retroalimentación constructiva donde los jefes de área proporcionen comentarios claros y útiles a los funcionarios sobre su desempeño y cómo pueden mejorar.</v>
      </c>
      <c r="J9" s="143" t="str">
        <f>IF('Plan de acción 2024'!AM48="","",'Plan de acción 2024'!AM48)</f>
        <v/>
      </c>
      <c r="K9" s="143" t="str">
        <f>IF('Plan de acción 2024'!AO48="","",'Plan de acción 2024'!AO48)</f>
        <v/>
      </c>
      <c r="L9" s="143" t="str">
        <f>IF('Plan de acción 2024'!AQ48="","",'Plan de acción 2024'!AQ48)</f>
        <v/>
      </c>
    </row>
    <row r="10" spans="2:12" ht="39" thickBot="1" x14ac:dyDescent="0.25">
      <c r="B10" s="43" t="str">
        <f>+'Plan de acción 2024'!G49</f>
        <v>Realizar seguimiento al autodiagnóstico de Talento Humano fortaleciendo las rutas con menor calificación</v>
      </c>
      <c r="C10" s="47" t="str">
        <f>+'Plan de acción 2024'!V49</f>
        <v>N/A</v>
      </c>
      <c r="D10" s="49" t="str">
        <f>+'Plan de acción 2024'!Y49</f>
        <v>N/A</v>
      </c>
      <c r="E10" s="49" t="str">
        <f>+'Plan de acción 2024'!AB49</f>
        <v>N/A</v>
      </c>
      <c r="F10" s="49">
        <f>+'Plan de acción 2024'!AE49</f>
        <v>0</v>
      </c>
      <c r="G10" s="49">
        <f t="shared" si="0"/>
        <v>0</v>
      </c>
      <c r="I10" s="143" t="str">
        <f>IF('Plan de acción 2024'!AK49="","",'Plan de acción 2024'!AK49)</f>
        <v>Para este trimestre el indicador no tenía nada programado, sin embargo, se evidencia que los puntajes obtenidos en la Ruta del Servicio y la Ruta de la Felicidad indican que hay oportunidades significativas para mejorar en estas áreas.</v>
      </c>
      <c r="J10" s="143" t="str">
        <f>IF('Plan de acción 2024'!AM49="","",'Plan de acción 2024'!AM49)</f>
        <v/>
      </c>
      <c r="K10" s="143" t="str">
        <f>IF('Plan de acción 2024'!AO49="","",'Plan de acción 2024'!AO49)</f>
        <v/>
      </c>
      <c r="L10" s="143" t="str">
        <f>IF('Plan de acción 2024'!AQ49="","",'Plan de acción 2024'!AQ49)</f>
        <v/>
      </c>
    </row>
    <row r="11" spans="2:12" ht="36" customHeight="1" thickBot="1" x14ac:dyDescent="0.25">
      <c r="B11" s="43" t="str">
        <f>+'Plan de acción 2024'!G50</f>
        <v>Suscripción de los acuerdos de gestión y seguimiento a su cumplimiento</v>
      </c>
      <c r="C11" s="47">
        <f>+'Plan de acción 2024'!V50</f>
        <v>0.5</v>
      </c>
      <c r="D11" s="49" t="str">
        <f>+'Plan de acción 2024'!Y50</f>
        <v>N/A</v>
      </c>
      <c r="E11" s="49">
        <f>+'Plan de acción 2024'!AB50</f>
        <v>0</v>
      </c>
      <c r="F11" s="49" t="str">
        <f>+'Plan de acción 2024'!AE50</f>
        <v>N/A</v>
      </c>
      <c r="G11" s="49">
        <f t="shared" si="0"/>
        <v>0.5</v>
      </c>
      <c r="I11" s="144" t="str">
        <f>IF('Plan de acción 2024'!AK50="","",'Plan de acción 2024'!AK50)</f>
        <v>El seguimiento a los acuerdos de gestión al segundo semestre de 2023 se ha realizado con éxito y la documentación está disponible públicamente, lo que demuestra transparencia y responsabilidad. Pueden ser consultados en el siguiente link: https://csc.gov.co/acuerdos-de-gestion/ 
Se recomienda asegurar la concertación de los acuerdos de gestión para 2024 en un plazo adecuado para permitir un seguimiento efectivo.</v>
      </c>
      <c r="J11" s="144" t="str">
        <f>IF('Plan de acción 2024'!AM50="","",'Plan de acción 2024'!AM50)</f>
        <v/>
      </c>
      <c r="K11" s="144" t="str">
        <f>IF('Plan de acción 2024'!AO50="","",'Plan de acción 2024'!AO50)</f>
        <v/>
      </c>
      <c r="L11" s="144" t="str">
        <f>IF('Plan de acción 2024'!AQ50="","",'Plan de acción 2024'!AQ50)</f>
        <v/>
      </c>
    </row>
    <row r="12" spans="2:12" ht="15.75" thickBot="1" x14ac:dyDescent="0.25">
      <c r="B12" s="35" t="s">
        <v>169</v>
      </c>
      <c r="C12" s="31">
        <f>+AVERAGE(C4:C11)</f>
        <v>0.15886652906776746</v>
      </c>
      <c r="D12" s="31">
        <f>+AVERAGE(D4:D11)</f>
        <v>0</v>
      </c>
      <c r="E12" s="31">
        <f>+AVERAGE(E4:E11)</f>
        <v>0</v>
      </c>
      <c r="F12" s="31">
        <f>+AVERAGE(F4:F11)</f>
        <v>0</v>
      </c>
      <c r="G12" s="31">
        <f>+AVERAGE(G4:G11)</f>
        <v>0.11914989680082559</v>
      </c>
    </row>
  </sheetData>
  <mergeCells count="2">
    <mergeCell ref="B2:G2"/>
    <mergeCell ref="I2:L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9"/>
  <sheetViews>
    <sheetView zoomScale="90" zoomScaleNormal="90" workbookViewId="0">
      <selection activeCell="I4" sqref="I4:L4"/>
    </sheetView>
  </sheetViews>
  <sheetFormatPr baseColWidth="10" defaultColWidth="10.85546875" defaultRowHeight="14.25" x14ac:dyDescent="0.2"/>
  <cols>
    <col min="1" max="1" width="5.42578125" style="21" customWidth="1"/>
    <col min="2" max="2" width="48.42578125" style="21" customWidth="1"/>
    <col min="3" max="6" width="10.85546875" style="21"/>
    <col min="7" max="7" width="17.140625" style="21" customWidth="1"/>
    <col min="8" max="8" width="6" style="21" customWidth="1"/>
    <col min="9" max="12" width="20.7109375" style="21" customWidth="1"/>
    <col min="13" max="16384" width="10.85546875" style="21"/>
  </cols>
  <sheetData>
    <row r="1" spans="2:12" ht="15" thickBot="1" x14ac:dyDescent="0.25"/>
    <row r="2" spans="2:12" ht="15.75" thickBot="1" x14ac:dyDescent="0.3">
      <c r="B2" s="233" t="s">
        <v>177</v>
      </c>
      <c r="C2" s="233"/>
      <c r="D2" s="233"/>
      <c r="E2" s="233"/>
      <c r="F2" s="233"/>
      <c r="G2" s="233"/>
      <c r="I2" s="233" t="s">
        <v>535</v>
      </c>
      <c r="J2" s="233"/>
      <c r="K2" s="233"/>
      <c r="L2" s="233"/>
    </row>
    <row r="3" spans="2:12" ht="45.75" thickBot="1" x14ac:dyDescent="0.25">
      <c r="B3" s="46" t="s">
        <v>164</v>
      </c>
      <c r="C3" s="46" t="s">
        <v>165</v>
      </c>
      <c r="D3" s="46" t="s">
        <v>166</v>
      </c>
      <c r="E3" s="46" t="s">
        <v>167</v>
      </c>
      <c r="F3" s="46" t="s">
        <v>168</v>
      </c>
      <c r="G3" s="46" t="s">
        <v>410</v>
      </c>
      <c r="I3" s="133" t="s">
        <v>531</v>
      </c>
      <c r="J3" s="133" t="s">
        <v>532</v>
      </c>
      <c r="K3" s="133" t="s">
        <v>533</v>
      </c>
      <c r="L3" s="133" t="s">
        <v>534</v>
      </c>
    </row>
    <row r="4" spans="2:12" ht="51.75" customHeight="1" thickBot="1" x14ac:dyDescent="0.25">
      <c r="B4" s="50" t="str">
        <f>+'Plan de acción 2024'!G51</f>
        <v xml:space="preserve">Generar información financiera a la alta gerencia necesaria para la Administración del Presupuesto de manera eficiente. </v>
      </c>
      <c r="C4" s="49">
        <f>+'Plan de acción 2024'!V51</f>
        <v>0.18879364354420305</v>
      </c>
      <c r="D4" s="49">
        <f>+'Plan de acción 2024'!Y51</f>
        <v>0</v>
      </c>
      <c r="E4" s="49">
        <f>+'Plan de acción 2024'!AB51</f>
        <v>0</v>
      </c>
      <c r="F4" s="49">
        <f>+'Plan de acción 2024'!AE51</f>
        <v>0</v>
      </c>
      <c r="G4" s="49">
        <f>SUMIF(C4:F4,"&gt;0",C4:F4)</f>
        <v>0.18879364354420305</v>
      </c>
      <c r="I4" s="143" t="str">
        <f>IF('Plan de acción 2024'!AK51="","",'Plan de acción 2024'!AK51)</f>
        <v xml:space="preserve">
El recaudo de ingresos durante el primer trimestre de 2024 no cumplió con el tope programado en el PAC, logrando solo el 75.5% del objetivo establecido. Este incumplimiento podría tener implicaciones significativas en la ejecución del presupuesto y los planes institucionales. Se recomienda desarrollar e implementar un plan de acción correctiva para mejorar el recaudo en los siguientes trimestres. Esto podría incluir estrategias de cobro más eficientes, incentivos para el cumplimiento de pagos, y medidas para abordar los problemas identificados.</v>
      </c>
      <c r="J4" s="143" t="str">
        <f>IF('Plan de acción 2024'!AM51="","",'Plan de acción 2024'!AM51)</f>
        <v/>
      </c>
      <c r="K4" s="143" t="str">
        <f>IF('Plan de acción 2024'!AO51="","",'Plan de acción 2024'!AO51)</f>
        <v/>
      </c>
      <c r="L4" s="143" t="str">
        <f>IF('Plan de acción 2024'!AQ51="","",'Plan de acción 2024'!AQ51)</f>
        <v/>
      </c>
    </row>
    <row r="5" spans="2:12" ht="39" thickBot="1" x14ac:dyDescent="0.25">
      <c r="B5" s="50" t="str">
        <f>+'Plan de acción 2024'!G52</f>
        <v xml:space="preserve">Generar información financiera a la alta gerencia necesaria para la Administración del Presupuesto de manera eficiente. </v>
      </c>
      <c r="C5" s="49">
        <f>+'Plan de acción 2024'!V52</f>
        <v>9.2082012259101231E-2</v>
      </c>
      <c r="D5" s="49">
        <f>+'Plan de acción 2024'!Y52</f>
        <v>0</v>
      </c>
      <c r="E5" s="49">
        <f>+'Plan de acción 2024'!AB52</f>
        <v>0</v>
      </c>
      <c r="F5" s="49">
        <f>+'Plan de acción 2024'!AE52</f>
        <v>0</v>
      </c>
      <c r="G5" s="49">
        <f t="shared" ref="G5:G8" si="0">SUMIF(C5:F5,"&gt;0",C5:F5)</f>
        <v>9.2082012259101231E-2</v>
      </c>
      <c r="I5" s="143" t="str">
        <f>IF('Plan de acción 2024'!AK52="","",'Plan de acción 2024'!AK52)</f>
        <v>La ejecución de gastos durante el primer trimestre de 2024 fue significativamente menor que lo programado en el PAC, alcanzando solo el 36.8% de la meta establecida. Se recomienda evaluar aquellos factores tanto internos y externos que puedan haber influido en esta situación, incluyendo retrasos en la contratación, ajustes presupuestarios, políticas de austeridad, entre otros con el fin alcanzar las metas propuestas en cuanto a la ejecución de gastos.</v>
      </c>
      <c r="J5" s="143" t="str">
        <f>IF('Plan de acción 2024'!AM52="","",'Plan de acción 2024'!AM52)</f>
        <v/>
      </c>
      <c r="K5" s="143" t="str">
        <f>IF('Plan de acción 2024'!AO52="","",'Plan de acción 2024'!AO52)</f>
        <v/>
      </c>
      <c r="L5" s="143" t="str">
        <f>IF('Plan de acción 2024'!AQ52="","",'Plan de acción 2024'!AQ52)</f>
        <v/>
      </c>
    </row>
    <row r="6" spans="2:12" ht="51.75" thickBot="1" x14ac:dyDescent="0.25">
      <c r="B6" s="50" t="str">
        <f>+'Plan de acción 2024'!G53</f>
        <v xml:space="preserve">Generar y reportar la Información financiera y presupuestal a los entes de control y de fiscalización de manera oportuna a través de las plataformas oficiales. </v>
      </c>
      <c r="C6" s="49">
        <f>+'Plan de acción 2024'!V53</f>
        <v>0.25</v>
      </c>
      <c r="D6" s="49">
        <f>+'Plan de acción 2024'!Y53</f>
        <v>0</v>
      </c>
      <c r="E6" s="49">
        <f>+'Plan de acción 2024'!AB53</f>
        <v>0</v>
      </c>
      <c r="F6" s="49">
        <f>+'Plan de acción 2024'!AE53</f>
        <v>0</v>
      </c>
      <c r="G6" s="49">
        <f t="shared" si="0"/>
        <v>0.25</v>
      </c>
      <c r="I6" s="143" t="str">
        <f>IF('Plan de acción 2024'!AK53="","",'Plan de acción 2024'!AK53)</f>
        <v>La remisión de informes a los entes de control durante el primer trimestre de 2024 se ha realizado de manera adecuada y oportuna, cumpliendo con los requisitos establecidos y asegurando la transparencia y responsabilidad en la gestión de la entidad.</v>
      </c>
      <c r="J6" s="143" t="str">
        <f>IF('Plan de acción 2024'!AM53="","",'Plan de acción 2024'!AM53)</f>
        <v/>
      </c>
      <c r="K6" s="143" t="str">
        <f>IF('Plan de acción 2024'!AO53="","",'Plan de acción 2024'!AO53)</f>
        <v/>
      </c>
      <c r="L6" s="143" t="str">
        <f>IF('Plan de acción 2024'!AQ53="","",'Plan de acción 2024'!AQ53)</f>
        <v/>
      </c>
    </row>
    <row r="7" spans="2:12" ht="41.25" customHeight="1" thickBot="1" x14ac:dyDescent="0.25">
      <c r="B7" s="50" t="str">
        <f>+'Plan de acción 2024'!G55</f>
        <v xml:space="preserve">Registrar en el sistema los recaudos provenientes de las diferentes líneas de crédito con que cuenta la entidad, para garantizar el proceso de desgloce y conciliaciones </v>
      </c>
      <c r="C7" s="49">
        <f>+'Plan de acción 2024'!V55</f>
        <v>0.17758580210528918</v>
      </c>
      <c r="D7" s="49">
        <f>+'Plan de acción 2024'!Y55</f>
        <v>0</v>
      </c>
      <c r="E7" s="49">
        <f>+'Plan de acción 2024'!AB55</f>
        <v>0</v>
      </c>
      <c r="F7" s="49">
        <f>+'Plan de acción 2024'!AE55</f>
        <v>0</v>
      </c>
      <c r="G7" s="49">
        <f t="shared" si="0"/>
        <v>0.17758580210528918</v>
      </c>
      <c r="I7" s="143" t="str">
        <f>IF('Plan de acción 2024'!AK54="","",'Plan de acción 2024'!AK54)</f>
        <v>El indicador de las conciliaciones bancarias ha demostrado un cumplimiento satisfactorio, ejecutándose de manera precisa. La colaboración con el área de tesorería permite una verificación más completa sobre los saldos bancarios, garantizando la integridad y exactitud de los registros contables de la Entidad.</v>
      </c>
      <c r="J7" s="143" t="str">
        <f>IF('Plan de acción 2024'!AM54="","",'Plan de acción 2024'!AM54)</f>
        <v/>
      </c>
      <c r="K7" s="143" t="str">
        <f>IF('Plan de acción 2024'!AO54="","",'Plan de acción 2024'!AO54)</f>
        <v/>
      </c>
      <c r="L7" s="143" t="str">
        <f>IF('Plan de acción 2024'!AQ54="","",'Plan de acción 2024'!AQ54)</f>
        <v/>
      </c>
    </row>
    <row r="8" spans="2:12" ht="41.25" customHeight="1" thickBot="1" x14ac:dyDescent="0.25">
      <c r="B8" s="50" t="str">
        <f>+'Plan de acción 2024'!G56</f>
        <v xml:space="preserve">Registrar en el sistema los egresos correspondiente a las obligaciones contraidas por la entidad. </v>
      </c>
      <c r="C8" s="49">
        <f>+'Plan de acción 2024'!V56</f>
        <v>6.9858977059944607E-2</v>
      </c>
      <c r="D8" s="49">
        <f>+'Plan de acción 2024'!Y56</f>
        <v>0</v>
      </c>
      <c r="E8" s="49">
        <f>+'Plan de acción 2024'!AB56</f>
        <v>0</v>
      </c>
      <c r="F8" s="49">
        <f>+'Plan de acción 2024'!AE56</f>
        <v>0</v>
      </c>
      <c r="G8" s="49">
        <f t="shared" si="0"/>
        <v>6.9858977059944607E-2</v>
      </c>
      <c r="I8" s="143" t="str">
        <f>IF('Plan de acción 2024'!AK55="","",'Plan de acción 2024'!AK55)</f>
        <v>Se evidencia el registro de los ingresos reportados durante el primer trimestre,alcanzar el 17,76% de la meta refleja una ejecución parcial, lo que podría implicar ajustes necesarios en la planificación, en la gestión financiera o en el indicador. Asi mismo, mejorar el proceso de recaudación y minimizar la brecha entre el PAC y el recaudo revisando políticas de crédito y estrategias de cobranza más efectivas.</v>
      </c>
      <c r="J8" s="143" t="str">
        <f>IF('Plan de acción 2024'!AM55="","",'Plan de acción 2024'!AM55)</f>
        <v/>
      </c>
      <c r="K8" s="143" t="str">
        <f>IF('Plan de acción 2024'!AO55="","",'Plan de acción 2024'!AO55)</f>
        <v/>
      </c>
      <c r="L8" s="143" t="str">
        <f>IF('Plan de acción 2024'!AQ55="","",'Plan de acción 2024'!AQ55)</f>
        <v/>
      </c>
    </row>
    <row r="9" spans="2:12" ht="15.75" thickBot="1" x14ac:dyDescent="0.25">
      <c r="B9" s="35" t="s">
        <v>169</v>
      </c>
      <c r="C9" s="31">
        <f>AVERAGE(C4:C7)</f>
        <v>0.17711536447714837</v>
      </c>
      <c r="D9" s="31">
        <f>AVERAGE(D4:D7)</f>
        <v>0</v>
      </c>
      <c r="E9" s="31">
        <f>AVERAGE(E4:E7)</f>
        <v>0</v>
      </c>
      <c r="F9" s="31">
        <f>AVERAGE(F4:F7)</f>
        <v>0</v>
      </c>
      <c r="G9" s="31">
        <f>AVERAGE(G4:G7)</f>
        <v>0.17711536447714837</v>
      </c>
    </row>
  </sheetData>
  <mergeCells count="2">
    <mergeCell ref="B2:G2"/>
    <mergeCell ref="I2:L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L7"/>
  <sheetViews>
    <sheetView zoomScale="90" zoomScaleNormal="90" workbookViewId="0">
      <selection activeCell="F4" sqref="F4"/>
    </sheetView>
  </sheetViews>
  <sheetFormatPr baseColWidth="10" defaultColWidth="10.85546875" defaultRowHeight="14.25" x14ac:dyDescent="0.2"/>
  <cols>
    <col min="1" max="1" width="10.85546875" style="21"/>
    <col min="2" max="2" width="38.85546875" style="21" customWidth="1"/>
    <col min="3" max="6" width="10.85546875" style="21"/>
    <col min="7" max="7" width="17.42578125" style="21" customWidth="1"/>
    <col min="8" max="8" width="6" style="21" customWidth="1"/>
    <col min="9" max="12" width="20.7109375" style="21" customWidth="1"/>
    <col min="13" max="16384" width="10.85546875" style="21"/>
  </cols>
  <sheetData>
    <row r="1" spans="2:12" ht="15" thickBot="1" x14ac:dyDescent="0.25"/>
    <row r="2" spans="2:12" s="36" customFormat="1" ht="27.75" customHeight="1" thickBot="1" x14ac:dyDescent="0.3">
      <c r="B2" s="235" t="s">
        <v>178</v>
      </c>
      <c r="C2" s="235"/>
      <c r="D2" s="235"/>
      <c r="E2" s="235"/>
      <c r="F2" s="235"/>
      <c r="G2" s="235"/>
      <c r="I2" s="235" t="s">
        <v>535</v>
      </c>
      <c r="J2" s="235"/>
      <c r="K2" s="235"/>
      <c r="L2" s="235"/>
    </row>
    <row r="3" spans="2:12" ht="45.75" thickBot="1" x14ac:dyDescent="0.25">
      <c r="B3" s="46" t="s">
        <v>164</v>
      </c>
      <c r="C3" s="46" t="s">
        <v>165</v>
      </c>
      <c r="D3" s="46" t="s">
        <v>166</v>
      </c>
      <c r="E3" s="46" t="s">
        <v>167</v>
      </c>
      <c r="F3" s="46" t="s">
        <v>168</v>
      </c>
      <c r="G3" s="46" t="s">
        <v>410</v>
      </c>
      <c r="I3" s="133" t="s">
        <v>531</v>
      </c>
      <c r="J3" s="133" t="s">
        <v>532</v>
      </c>
      <c r="K3" s="133" t="s">
        <v>533</v>
      </c>
      <c r="L3" s="133" t="s">
        <v>534</v>
      </c>
    </row>
    <row r="4" spans="2:12" ht="51.75" thickBot="1" x14ac:dyDescent="0.25">
      <c r="B4" s="41" t="str">
        <f>+'Plan de acción 2024'!G57</f>
        <v xml:space="preserve">Impulsar la actividad procesal de las obligaciones que se  encuentren en cobro jurídico  entregadas a los abogados externos. </v>
      </c>
      <c r="C4" s="49">
        <f>+'Plan de acción 2024'!V57</f>
        <v>0.10366666666666667</v>
      </c>
      <c r="D4" s="49">
        <f>+'Plan de acción 2024'!Y57</f>
        <v>0</v>
      </c>
      <c r="E4" s="49">
        <f>+'Plan de acción 2024'!AB57</f>
        <v>0</v>
      </c>
      <c r="F4" s="49">
        <f>+'Plan de acción 2024'!AE57</f>
        <v>0</v>
      </c>
      <c r="G4" s="49">
        <f>SUMIF(C4:F4,"&gt;0",C4:F4)</f>
        <v>0.10366666666666667</v>
      </c>
      <c r="I4" s="143" t="str">
        <f>IF('Plan de acción 2024'!AK57="","",'Plan de acción 2024'!AK57)</f>
        <v/>
      </c>
      <c r="J4" s="143" t="str">
        <f>IF('Plan de acción 2024'!AM57="","",'Plan de acción 2024'!AM57)</f>
        <v/>
      </c>
      <c r="K4" s="143" t="str">
        <f>IF('Plan de acción 2024'!AO57="","",'Plan de acción 2024'!AO57)</f>
        <v/>
      </c>
      <c r="L4" s="143" t="str">
        <f>IF('Plan de acción 2024'!AQ57="","",'Plan de acción 2024'!AQ57)</f>
        <v/>
      </c>
    </row>
    <row r="5" spans="2:12" ht="39" thickBot="1" x14ac:dyDescent="0.25">
      <c r="B5" s="41" t="str">
        <f>+'Plan de acción 2024'!G58</f>
        <v>Realizar seguimientos mensuales a la implementación de la Politica del Plan de Prevención del Daño Antijurídico.</v>
      </c>
      <c r="C5" s="49" t="str">
        <f>+'Plan de acción 2024'!V58</f>
        <v>NA</v>
      </c>
      <c r="D5" s="49">
        <f>+'Plan de acción 2024'!Y58</f>
        <v>0</v>
      </c>
      <c r="E5" s="49">
        <f>+'Plan de acción 2024'!AB58</f>
        <v>0</v>
      </c>
      <c r="F5" s="49" t="str">
        <f>+'Plan de acción 2024'!AE58</f>
        <v>NA</v>
      </c>
      <c r="G5" s="49">
        <f>SUMIF(C5:F5,"&gt;0",C5:F5)</f>
        <v>0</v>
      </c>
      <c r="I5" s="144" t="str">
        <f>IF('Plan de acción 2024'!AK58="","",'Plan de acción 2024'!AK58)</f>
        <v>El presnte indicador será evaluado en el segundo trimestre.</v>
      </c>
      <c r="J5" s="144" t="str">
        <f>IF('Plan de acción 2024'!AM58="","",'Plan de acción 2024'!AM58)</f>
        <v/>
      </c>
      <c r="K5" s="144" t="str">
        <f>IF('Plan de acción 2024'!AO58="","",'Plan de acción 2024'!AO58)</f>
        <v/>
      </c>
      <c r="L5" s="144" t="str">
        <f>IF('Plan de acción 2024'!AQ58="","",'Plan de acción 2024'!AQ58)</f>
        <v/>
      </c>
    </row>
    <row r="6" spans="2:12" ht="51.75" thickBot="1" x14ac:dyDescent="0.25">
      <c r="B6" s="41" t="str">
        <f>+'Plan de acción 2024'!G59</f>
        <v>Marcar en Novasoft los casos recibidos por el Proceso de Cartera que superen los 91 días para  créditos de consumo y 151 a los créditos hipotecarios</v>
      </c>
      <c r="C6" s="49">
        <f>+'Plan de acción 2024'!V59</f>
        <v>0</v>
      </c>
      <c r="D6" s="49">
        <f>+'Plan de acción 2024'!Y59</f>
        <v>0</v>
      </c>
      <c r="E6" s="49">
        <f>+'Plan de acción 2024'!AB59</f>
        <v>0</v>
      </c>
      <c r="F6" s="49">
        <f>+'Plan de acción 2024'!AE59</f>
        <v>0</v>
      </c>
      <c r="G6" s="49">
        <f>SUMIF(C6:F6,"&gt;0",C6:F6)</f>
        <v>0</v>
      </c>
      <c r="I6" s="144" t="str">
        <f>IF('Plan de acción 2024'!AK59="","",'Plan de acción 2024'!AK59)</f>
        <v/>
      </c>
      <c r="J6" s="144" t="str">
        <f>IF('Plan de acción 2024'!AM59="","",'Plan de acción 2024'!AM59)</f>
        <v/>
      </c>
      <c r="K6" s="144" t="str">
        <f>IF('Plan de acción 2024'!AO59="","",'Plan de acción 2024'!AO59)</f>
        <v/>
      </c>
      <c r="L6" s="144" t="str">
        <f>IF('Plan de acción 2024'!AQ59="","",'Plan de acción 2024'!AQ59)</f>
        <v/>
      </c>
    </row>
    <row r="7" spans="2:12" ht="15.75" thickBot="1" x14ac:dyDescent="0.25">
      <c r="B7" s="35" t="s">
        <v>169</v>
      </c>
      <c r="C7" s="31">
        <f>AVERAGE(C4:C5)</f>
        <v>0.10366666666666667</v>
      </c>
      <c r="D7" s="31">
        <f>AVERAGE(D4:D5)</f>
        <v>0</v>
      </c>
      <c r="E7" s="31">
        <f>AVERAGE(E4:E5)</f>
        <v>0</v>
      </c>
      <c r="F7" s="31">
        <f>AVERAGE(F4:F5)</f>
        <v>0</v>
      </c>
      <c r="G7" s="31">
        <f>AVERAGE(G4:G5)</f>
        <v>5.1833333333333335E-2</v>
      </c>
    </row>
  </sheetData>
  <mergeCells count="2">
    <mergeCell ref="B2:G2"/>
    <mergeCell ref="I2:L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10"/>
  <sheetViews>
    <sheetView zoomScale="90" zoomScaleNormal="90" workbookViewId="0">
      <selection activeCell="I5" sqref="I5"/>
    </sheetView>
  </sheetViews>
  <sheetFormatPr baseColWidth="10" defaultColWidth="10.85546875" defaultRowHeight="14.25" x14ac:dyDescent="0.2"/>
  <cols>
    <col min="1" max="1" width="10.85546875" style="21"/>
    <col min="2" max="2" width="40.140625" style="21" customWidth="1"/>
    <col min="3" max="6" width="10.85546875" style="21"/>
    <col min="7" max="7" width="23.42578125" style="21" customWidth="1"/>
    <col min="8" max="8" width="10.85546875" style="21"/>
    <col min="9" max="12" width="20.7109375" style="21" customWidth="1"/>
    <col min="13" max="16384" width="10.85546875" style="21"/>
  </cols>
  <sheetData>
    <row r="1" spans="2:12" ht="15" thickBot="1" x14ac:dyDescent="0.25"/>
    <row r="2" spans="2:12" ht="15.75" thickBot="1" x14ac:dyDescent="0.3">
      <c r="B2" s="233" t="s">
        <v>228</v>
      </c>
      <c r="C2" s="233"/>
      <c r="D2" s="233"/>
      <c r="E2" s="233"/>
      <c r="F2" s="233"/>
      <c r="G2" s="233"/>
      <c r="I2" s="235" t="s">
        <v>535</v>
      </c>
      <c r="J2" s="235"/>
      <c r="K2" s="235"/>
      <c r="L2" s="235"/>
    </row>
    <row r="3" spans="2:12" ht="30.75" thickBot="1" x14ac:dyDescent="0.25">
      <c r="B3" s="46" t="s">
        <v>164</v>
      </c>
      <c r="C3" s="46" t="s">
        <v>165</v>
      </c>
      <c r="D3" s="46" t="s">
        <v>166</v>
      </c>
      <c r="E3" s="46" t="s">
        <v>167</v>
      </c>
      <c r="F3" s="46" t="s">
        <v>168</v>
      </c>
      <c r="G3" s="46" t="s">
        <v>182</v>
      </c>
      <c r="I3" s="133" t="s">
        <v>531</v>
      </c>
      <c r="J3" s="133" t="s">
        <v>532</v>
      </c>
      <c r="K3" s="133" t="s">
        <v>533</v>
      </c>
      <c r="L3" s="133" t="s">
        <v>534</v>
      </c>
    </row>
    <row r="4" spans="2:12" ht="38.25" customHeight="1" thickBot="1" x14ac:dyDescent="0.25">
      <c r="B4" s="43" t="str">
        <f>+'Plan de acción 2024'!G60</f>
        <v xml:space="preserve">Planear y ejecutar el Plan anual de auditorías interna Integral de acuerdo al cronograma </v>
      </c>
      <c r="C4" s="49">
        <f>+'Plan de acción 2024'!V60</f>
        <v>0</v>
      </c>
      <c r="D4" s="49">
        <f>+'Plan de acción 2024'!Y60</f>
        <v>0</v>
      </c>
      <c r="E4" s="49">
        <f>+'Plan de acción 2024'!AB60</f>
        <v>0</v>
      </c>
      <c r="F4" s="49">
        <f>+'Plan de acción 2024'!AE60</f>
        <v>0</v>
      </c>
      <c r="G4" s="49">
        <f>SUMIF(C4:F4,"&gt;0",C4:F4)</f>
        <v>0</v>
      </c>
      <c r="I4" s="143" t="str">
        <f>IF('Plan de acción 2024'!AK60="","",'Plan de acción 2024'!AK60)</f>
        <v>La elaboración y aprobación del Plan Anual de Auditoría para la vigencia 2024, pese a no estar programada para el primer trimestre, indican una acción proactiva del proceso de auditoría. Esta actividad será considerada para el segundo trimestre, destacando el compromiso con la planificación y el control institucional.</v>
      </c>
      <c r="J4" s="143" t="str">
        <f>IF('Plan de acción 2024'!AM60="","",'Plan de acción 2024'!AM60)</f>
        <v/>
      </c>
      <c r="K4" s="143" t="str">
        <f>IF('Plan de acción 2024'!AO60="","",'Plan de acción 2024'!AO60)</f>
        <v/>
      </c>
      <c r="L4" s="143" t="str">
        <f>IF('Plan de acción 2024'!AQ60="","",'Plan de acción 2024'!AQ60)</f>
        <v/>
      </c>
    </row>
    <row r="5" spans="2:12" ht="39" thickBot="1" x14ac:dyDescent="0.25">
      <c r="B5" s="43" t="str">
        <f>+'Plan de acción 2024'!G61</f>
        <v>Realizar los seguimientos a los planes de mejoramiento aprobados por la Contraloría Departamental</v>
      </c>
      <c r="C5" s="49">
        <f>+'Plan de acción 2024'!V61</f>
        <v>0</v>
      </c>
      <c r="D5" s="49" t="str">
        <f>+'Plan de acción 2024'!Y61</f>
        <v>NA</v>
      </c>
      <c r="E5" s="49">
        <f>+'Plan de acción 2024'!AB61</f>
        <v>0</v>
      </c>
      <c r="F5" s="49" t="str">
        <f>+'Plan de acción 2024'!AE61</f>
        <v>NA</v>
      </c>
      <c r="G5" s="49">
        <f t="shared" ref="G5:G9" si="0">SUMIF(C5:F5,"&gt;0",C5:F5)</f>
        <v>0</v>
      </c>
      <c r="I5" s="143" t="str">
        <f>IF('Plan de acción 2024'!AK61="","",'Plan de acción 2024'!AK61)</f>
        <v>Si bien los informes son reportados de manera semestral, para el presente trimestre el proceso debe haber presentado avances de seguimiento y planes de mejoramiento de la auditoria del año 2023 y seguimiento a aquellos planes de mejoramiento que se encuentren abiertos. Se recomienda al proceso revisar la información y realizar el respectivo cargue de las evidencias. Asi como también indicar el estado de los diferentes planes de mejoramiento que se encuentren en seguimiento ante la Contraloría Departamental</v>
      </c>
      <c r="J5" s="143" t="str">
        <f>IF('Plan de acción 2024'!AM61="","",'Plan de acción 2024'!AM61)</f>
        <v/>
      </c>
      <c r="K5" s="143" t="str">
        <f>IF('Plan de acción 2024'!AO61="","",'Plan de acción 2024'!AO61)</f>
        <v/>
      </c>
      <c r="L5" s="143" t="str">
        <f>IF('Plan de acción 2024'!AQ61="","",'Plan de acción 2024'!AQ61)</f>
        <v/>
      </c>
    </row>
    <row r="6" spans="2:12" ht="59.25" customHeight="1" thickBot="1" x14ac:dyDescent="0.25">
      <c r="B6" s="43" t="str">
        <f>+'Plan de acción 2024'!G62</f>
        <v>Presentar los informes de ley  por parte de la OCI, cumpliendo con la normatividad aplicable Decreto 648  del 19 de abril  de 2017,  en materia de seguimientos  por parte de la OCI</v>
      </c>
      <c r="C6" s="49">
        <f>+'Plan de acción 2024'!V62</f>
        <v>0.21428571428571427</v>
      </c>
      <c r="D6" s="49">
        <f>+'Plan de acción 2024'!Y62</f>
        <v>0</v>
      </c>
      <c r="E6" s="49">
        <f>+'Plan de acción 2024'!AB62</f>
        <v>0</v>
      </c>
      <c r="F6" s="49">
        <f>+'Plan de acción 2024'!AE62</f>
        <v>0</v>
      </c>
      <c r="G6" s="49">
        <f t="shared" si="0"/>
        <v>0.21428571428571427</v>
      </c>
      <c r="I6" s="143" t="str">
        <f>IF('Plan de acción 2024'!AK62="","",'Plan de acción 2024'!AK62)</f>
        <v xml:space="preserve">El indicador de publicación de informes de control interno muestra un cumplimiento del 85% para el primer trimestre, faltando el informe del segundo semestre del 2023 de PQRS. Se recomienda al proceso revisar la información y cargar los informes adecuadamente en a web de la Entidad.. </v>
      </c>
      <c r="J6" s="143" t="str">
        <f>IF('Plan de acción 2024'!AM62="","",'Plan de acción 2024'!AM62)</f>
        <v/>
      </c>
      <c r="K6" s="143" t="str">
        <f>IF('Plan de acción 2024'!AO62="","",'Plan de acción 2024'!AO62)</f>
        <v/>
      </c>
      <c r="L6" s="143" t="str">
        <f>IF('Plan de acción 2024'!AQ62="","",'Plan de acción 2024'!AQ62)</f>
        <v/>
      </c>
    </row>
    <row r="7" spans="2:12" ht="48" customHeight="1" thickBot="1" x14ac:dyDescent="0.25">
      <c r="B7" s="43" t="str">
        <f>+'Plan de acción 2024'!G63</f>
        <v>Seguimiento a los resultados de la Auditoría interna de la CSC</v>
      </c>
      <c r="C7" s="49">
        <f>+'Plan de acción 2024'!V63</f>
        <v>0</v>
      </c>
      <c r="D7" s="49">
        <f>+'Plan de acción 2024'!Y63</f>
        <v>0</v>
      </c>
      <c r="E7" s="49">
        <f>+'Plan de acción 2024'!AB63</f>
        <v>0</v>
      </c>
      <c r="F7" s="49">
        <f>+'Plan de acción 2024'!AE63</f>
        <v>0</v>
      </c>
      <c r="G7" s="49">
        <f t="shared" si="0"/>
        <v>0</v>
      </c>
      <c r="I7" s="143" t="str">
        <f>IF('Plan de acción 2024'!AK63="","",'Plan de acción 2024'!AK63)</f>
        <v>De acuerdo con las evidencias aportadas, no son insumos suficientes para realizar un seguimiento al indicador. Se recomienda al proceso verificar la información y aportar eviencias que muestren el estado real del seguimiento de cada una de las acciones tanto correctivas como de mejora de las auditorias internas.</v>
      </c>
      <c r="J7" s="143" t="str">
        <f>IF('Plan de acción 2024'!AM63="","",'Plan de acción 2024'!AM63)</f>
        <v/>
      </c>
      <c r="K7" s="143" t="str">
        <f>IF('Plan de acción 2024'!AO63="","",'Plan de acción 2024'!AO63)</f>
        <v/>
      </c>
      <c r="L7" s="143" t="str">
        <f>IF('Plan de acción 2024'!AQ63="","",'Plan de acción 2024'!AQ63)</f>
        <v/>
      </c>
    </row>
    <row r="8" spans="2:12" ht="54.75" customHeight="1" thickBot="1" x14ac:dyDescent="0.25">
      <c r="B8" s="43" t="str">
        <f>+'Plan de acción 2024'!G64</f>
        <v>Realizar Campañas de Autocontrol que armonicen la 7ma dimensión de MIPG</v>
      </c>
      <c r="C8" s="49">
        <f>+'Plan de acción 2024'!V64</f>
        <v>0.25</v>
      </c>
      <c r="D8" s="49">
        <f>+'Plan de acción 2024'!Y64</f>
        <v>0</v>
      </c>
      <c r="E8" s="49">
        <f>+'Plan de acción 2024'!AB64</f>
        <v>0</v>
      </c>
      <c r="F8" s="49">
        <f>+'Plan de acción 2024'!AE64</f>
        <v>0</v>
      </c>
      <c r="G8" s="49">
        <f t="shared" si="0"/>
        <v>0.25</v>
      </c>
      <c r="I8" s="143" t="str">
        <f>IF('Plan de acción 2024'!AK64="","",'Plan de acción 2024'!AK64)</f>
        <v>Se da cumplimiento adecuado a las acciones programadas en el indicador evidenciando la campaña de auto control enviada a los correos institucionales de los funcionarios, enfocada en las tres líneas de defensa para el manejo de riesgos. Se recomienda utilizar diferentes medios de comunicación  para complementar los correos electrónicos y llegar a todos los funcionarios y contratistas de manera efectiva.</v>
      </c>
      <c r="J8" s="143" t="str">
        <f>IF('Plan de acción 2024'!AM64="","",'Plan de acción 2024'!AM64)</f>
        <v/>
      </c>
      <c r="K8" s="143" t="str">
        <f>IF('Plan de acción 2024'!AO64="","",'Plan de acción 2024'!AO64)</f>
        <v/>
      </c>
      <c r="L8" s="143" t="str">
        <f>IF('Plan de acción 2024'!AQ64="","",'Plan de acción 2024'!AQ64)</f>
        <v/>
      </c>
    </row>
    <row r="9" spans="2:12" ht="41.25" customHeight="1" thickBot="1" x14ac:dyDescent="0.25">
      <c r="B9" s="43" t="str">
        <f>+'Plan de acción 2024'!G65</f>
        <v>Realizar seguimiento a la plataforma SIA OBSERVA</v>
      </c>
      <c r="C9" s="49">
        <f>+'Plan de acción 2024'!V65</f>
        <v>8.3333333333333329E-2</v>
      </c>
      <c r="D9" s="49">
        <f>+'Plan de acción 2024'!Y65</f>
        <v>0</v>
      </c>
      <c r="E9" s="49">
        <f>+'Plan de acción 2024'!AB65</f>
        <v>0</v>
      </c>
      <c r="F9" s="49">
        <f>+'Plan de acción 2024'!AE65</f>
        <v>0</v>
      </c>
      <c r="G9" s="49">
        <f t="shared" si="0"/>
        <v>8.3333333333333329E-2</v>
      </c>
      <c r="I9" s="144" t="str">
        <f>IF('Plan de acción 2024'!AK65="","",'Plan de acción 2024'!AK65)</f>
        <v/>
      </c>
      <c r="J9" s="144" t="str">
        <f>IF('Plan de acción 2024'!AM65="","",'Plan de acción 2024'!AM65)</f>
        <v/>
      </c>
      <c r="K9" s="144" t="str">
        <f>IF('Plan de acción 2024'!AO65="","",'Plan de acción 2024'!AO65)</f>
        <v/>
      </c>
      <c r="L9" s="144" t="str">
        <f>IF('Plan de acción 2024'!AQ65="","",'Plan de acción 2024'!AQ65)</f>
        <v/>
      </c>
    </row>
    <row r="10" spans="2:12" ht="15.75" thickBot="1" x14ac:dyDescent="0.25">
      <c r="B10" s="35" t="s">
        <v>169</v>
      </c>
      <c r="C10" s="31">
        <f>+AVERAGE(C4:C9)</f>
        <v>9.1269841269841279E-2</v>
      </c>
      <c r="D10" s="31">
        <f>+AVERAGE(D4:D9)</f>
        <v>0</v>
      </c>
      <c r="E10" s="31">
        <f>+AVERAGE(E4:E9)</f>
        <v>0</v>
      </c>
      <c r="F10" s="31">
        <f>+AVERAGE(F4:F9)</f>
        <v>0</v>
      </c>
      <c r="G10" s="31">
        <f>+AVERAGE(G4:G9)</f>
        <v>9.1269841269841279E-2</v>
      </c>
    </row>
  </sheetData>
  <dataConsolidate/>
  <mergeCells count="2">
    <mergeCell ref="B2:G2"/>
    <mergeCell ref="I2: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5:C16"/>
  <sheetViews>
    <sheetView topLeftCell="A4" zoomScaleNormal="100" workbookViewId="0">
      <selection activeCell="C6" sqref="C6"/>
    </sheetView>
  </sheetViews>
  <sheetFormatPr baseColWidth="10" defaultColWidth="11.42578125" defaultRowHeight="15" x14ac:dyDescent="0.25"/>
  <cols>
    <col min="1" max="1" width="11.42578125" style="55"/>
    <col min="2" max="2" width="27.7109375" style="55" bestFit="1" customWidth="1"/>
    <col min="3" max="3" width="16.7109375" style="55" customWidth="1"/>
    <col min="4" max="16384" width="11.42578125" style="55"/>
  </cols>
  <sheetData>
    <row r="5" spans="2:3" ht="15.75" thickBot="1" x14ac:dyDescent="0.3"/>
    <row r="6" spans="2:3" x14ac:dyDescent="0.25">
      <c r="B6" s="65" t="str">
        <f>+'Cumplimiento 2024'!C3</f>
        <v xml:space="preserve">Direccionamiento Estrategico </v>
      </c>
      <c r="C6" s="66">
        <f>+'Cumplimiento 2024'!C8</f>
        <v>0.25</v>
      </c>
    </row>
    <row r="7" spans="2:3" x14ac:dyDescent="0.25">
      <c r="B7" s="61" t="str">
        <f>+'Cumplimiento 2024'!D3</f>
        <v>Atención al Cliente</v>
      </c>
      <c r="C7" s="62">
        <f>+'Cumplimiento 2024'!D8</f>
        <v>0.24318997201458456</v>
      </c>
    </row>
    <row r="8" spans="2:3" x14ac:dyDescent="0.25">
      <c r="B8" s="61" t="str">
        <f>+'Cumplimiento 2024'!E3</f>
        <v>Bienestar</v>
      </c>
      <c r="C8" s="62">
        <f>+'Cumplimiento 2024'!E8</f>
        <v>0.11959940407217347</v>
      </c>
    </row>
    <row r="9" spans="2:3" x14ac:dyDescent="0.25">
      <c r="B9" s="61" t="str">
        <f>+'Cumplimiento 2024'!F3</f>
        <v>Crédito y Cartera</v>
      </c>
      <c r="C9" s="62">
        <f>+'Cumplimiento 2024'!F8</f>
        <v>0.11887999283553496</v>
      </c>
    </row>
    <row r="10" spans="2:3" x14ac:dyDescent="0.25">
      <c r="B10" s="61" t="str">
        <f>+'Cumplimiento 2024'!G3</f>
        <v>Gestión Contractual</v>
      </c>
      <c r="C10" s="62">
        <f>+'Cumplimiento 2024'!G8</f>
        <v>0.13888888888888887</v>
      </c>
    </row>
    <row r="11" spans="2:3" x14ac:dyDescent="0.25">
      <c r="B11" s="61" t="str">
        <f>+'Cumplimiento 2024'!H3</f>
        <v>Gestión de la Información</v>
      </c>
      <c r="C11" s="62">
        <f>+'Cumplimiento 2024'!H8</f>
        <v>0.22000000000000003</v>
      </c>
    </row>
    <row r="12" spans="2:3" x14ac:dyDescent="0.25">
      <c r="B12" s="61" t="str">
        <f>+'Cumplimiento 2024'!I3</f>
        <v xml:space="preserve">Gestión de Recursos Físicos </v>
      </c>
      <c r="C12" s="62">
        <f>+'Cumplimiento 2024'!I8</f>
        <v>0.16666666666666666</v>
      </c>
    </row>
    <row r="13" spans="2:3" x14ac:dyDescent="0.25">
      <c r="B13" s="61" t="str">
        <f>+'Cumplimiento 2024'!J3</f>
        <v>Gestión del Talento Humano</v>
      </c>
      <c r="C13" s="62">
        <f>+'Cumplimiento 2024'!J8</f>
        <v>0.15886652906776746</v>
      </c>
    </row>
    <row r="14" spans="2:3" x14ac:dyDescent="0.25">
      <c r="B14" s="61" t="str">
        <f>+'Cumplimiento 2024'!K3</f>
        <v>Gestión Financiera</v>
      </c>
      <c r="C14" s="62">
        <f>+'Cumplimiento 2024'!K8</f>
        <v>0.17711536447714837</v>
      </c>
    </row>
    <row r="15" spans="2:3" x14ac:dyDescent="0.25">
      <c r="B15" s="61" t="str">
        <f>+'Cumplimiento 2024'!L3</f>
        <v>Gestión Jurídica</v>
      </c>
      <c r="C15" s="62">
        <f>+'Cumplimiento 2024'!L8</f>
        <v>0.10366666666666667</v>
      </c>
    </row>
    <row r="16" spans="2:3" ht="15.75" thickBot="1" x14ac:dyDescent="0.3">
      <c r="B16" s="69" t="str">
        <f>+'Cumplimiento 2024'!M3</f>
        <v xml:space="preserve">Gestion del mejoramiento </v>
      </c>
      <c r="C16" s="70">
        <f>+'Cumplimiento 2024'!M8</f>
        <v>9.1269841269841279E-2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0"/>
  <sheetViews>
    <sheetView zoomScale="85" zoomScaleNormal="85" workbookViewId="0">
      <selection activeCell="F20" sqref="F20"/>
    </sheetView>
  </sheetViews>
  <sheetFormatPr baseColWidth="10" defaultColWidth="10.85546875" defaultRowHeight="14.25" x14ac:dyDescent="0.2"/>
  <cols>
    <col min="1" max="1" width="3.85546875" style="21" customWidth="1"/>
    <col min="2" max="2" width="24.7109375" style="21" customWidth="1"/>
    <col min="3" max="3" width="19.85546875" style="21" customWidth="1"/>
    <col min="4" max="4" width="12.42578125" style="21" customWidth="1"/>
    <col min="5" max="5" width="12" style="21" customWidth="1"/>
    <col min="6" max="6" width="13.85546875" style="21" customWidth="1"/>
    <col min="7" max="7" width="14.42578125" style="21" customWidth="1"/>
    <col min="8" max="8" width="18.85546875" style="21" customWidth="1"/>
    <col min="9" max="9" width="17.42578125" style="21" bestFit="1" customWidth="1"/>
    <col min="10" max="10" width="14.42578125" style="21" customWidth="1"/>
    <col min="11" max="11" width="17.42578125" style="21" bestFit="1" customWidth="1"/>
    <col min="12" max="12" width="10.85546875" style="21"/>
    <col min="13" max="13" width="15.140625" style="21" customWidth="1"/>
    <col min="14" max="14" width="16.7109375" style="21" customWidth="1"/>
    <col min="15" max="16384" width="10.85546875" style="21"/>
  </cols>
  <sheetData>
    <row r="1" spans="2:14" ht="15" thickBot="1" x14ac:dyDescent="0.25"/>
    <row r="2" spans="2:14" ht="29.25" customHeight="1" thickBot="1" x14ac:dyDescent="0.45">
      <c r="B2" s="226" t="s">
        <v>149</v>
      </c>
      <c r="C2" s="227"/>
      <c r="D2" s="227"/>
      <c r="E2" s="227"/>
      <c r="F2" s="227"/>
      <c r="G2" s="227"/>
      <c r="H2" s="227"/>
      <c r="I2" s="227"/>
      <c r="J2" s="227"/>
      <c r="K2" s="227"/>
      <c r="L2" s="227"/>
      <c r="M2" s="227"/>
      <c r="N2" s="228"/>
    </row>
    <row r="3" spans="2:14" ht="45.75" thickBot="1" x14ac:dyDescent="0.25">
      <c r="B3" s="27" t="s">
        <v>224</v>
      </c>
      <c r="C3" s="26" t="s">
        <v>226</v>
      </c>
      <c r="D3" s="26" t="s">
        <v>150</v>
      </c>
      <c r="E3" s="26" t="s">
        <v>151</v>
      </c>
      <c r="F3" s="26" t="s">
        <v>152</v>
      </c>
      <c r="G3" s="26" t="s">
        <v>153</v>
      </c>
      <c r="H3" s="26" t="s">
        <v>154</v>
      </c>
      <c r="I3" s="26" t="s">
        <v>155</v>
      </c>
      <c r="J3" s="26" t="s">
        <v>156</v>
      </c>
      <c r="K3" s="26" t="s">
        <v>157</v>
      </c>
      <c r="L3" s="26" t="s">
        <v>158</v>
      </c>
      <c r="M3" s="26" t="s">
        <v>227</v>
      </c>
      <c r="N3" s="26" t="s">
        <v>258</v>
      </c>
    </row>
    <row r="4" spans="2:14" ht="43.5" customHeight="1" x14ac:dyDescent="0.2">
      <c r="B4" s="28" t="s">
        <v>159</v>
      </c>
      <c r="C4" s="63">
        <f>+'Direccionamiento Estrategico'!C8</f>
        <v>0.25</v>
      </c>
      <c r="D4" s="59">
        <f>+'Atención al Cliente'!C8</f>
        <v>0.24318997201458456</v>
      </c>
      <c r="E4" s="59">
        <f>+Bienestar!C7</f>
        <v>0.11959940407217347</v>
      </c>
      <c r="F4" s="59">
        <f>+Cartera!C8</f>
        <v>0.11887999283553496</v>
      </c>
      <c r="G4" s="59">
        <f>+'Gestión Contractual'!C7</f>
        <v>0.13888888888888887</v>
      </c>
      <c r="H4" s="59">
        <f>+'Gestión de la Información'!C9</f>
        <v>0.22000000000000003</v>
      </c>
      <c r="I4" s="59">
        <f>+'Gestión de Recursos Físicos'!C10</f>
        <v>0.16666666666666666</v>
      </c>
      <c r="J4" s="59">
        <f>+'Gestión de Talento Humano'!C12</f>
        <v>0.15886652906776746</v>
      </c>
      <c r="K4" s="59">
        <f>+'Gestión Financiera'!C9</f>
        <v>0.17711536447714837</v>
      </c>
      <c r="L4" s="59">
        <f>+'Gestión Jurídica'!C7</f>
        <v>0.10366666666666667</v>
      </c>
      <c r="M4" s="59">
        <f>+'Gestion del Mejoramiento'!C10</f>
        <v>9.1269841269841279E-2</v>
      </c>
      <c r="N4" s="225">
        <f>AVERAGE(C8:M8)</f>
        <v>0.16255848417811566</v>
      </c>
    </row>
    <row r="5" spans="2:14" ht="43.5" customHeight="1" x14ac:dyDescent="0.2">
      <c r="B5" s="28" t="s">
        <v>160</v>
      </c>
      <c r="C5" s="64">
        <f>+'Direccionamiento Estrategico'!D8</f>
        <v>0</v>
      </c>
      <c r="D5" s="60">
        <f>+'Atención al Cliente'!D8</f>
        <v>0</v>
      </c>
      <c r="E5" s="60">
        <f>+Bienestar!D7</f>
        <v>0</v>
      </c>
      <c r="F5" s="60">
        <f>+Cartera!D8</f>
        <v>0</v>
      </c>
      <c r="G5" s="60">
        <f>+'Gestión Contractual'!D7</f>
        <v>0</v>
      </c>
      <c r="H5" s="60">
        <f>+'Gestión de la Información'!D9</f>
        <v>0</v>
      </c>
      <c r="I5" s="60">
        <f>+'Gestión de Recursos Físicos'!D10</f>
        <v>0</v>
      </c>
      <c r="J5" s="60">
        <f>+'Gestión de Talento Humano'!D12</f>
        <v>0</v>
      </c>
      <c r="K5" s="60">
        <f>+'Gestión Financiera'!D9</f>
        <v>0</v>
      </c>
      <c r="L5" s="60">
        <f>+'Gestión Jurídica'!D7</f>
        <v>0</v>
      </c>
      <c r="M5" s="60">
        <f>+'Gestion del Mejoramiento'!D10</f>
        <v>0</v>
      </c>
      <c r="N5" s="225"/>
    </row>
    <row r="6" spans="2:14" ht="43.5" customHeight="1" x14ac:dyDescent="0.2">
      <c r="B6" s="28" t="s">
        <v>161</v>
      </c>
      <c r="C6" s="64">
        <f>+'Direccionamiento Estrategico'!E8</f>
        <v>0</v>
      </c>
      <c r="D6" s="60">
        <f>+'Atención al Cliente'!E8</f>
        <v>0</v>
      </c>
      <c r="E6" s="60">
        <f>+Bienestar!E7</f>
        <v>0</v>
      </c>
      <c r="F6" s="60">
        <f>+Cartera!E8</f>
        <v>0</v>
      </c>
      <c r="G6" s="60">
        <f>+'Gestión Contractual'!E7</f>
        <v>0</v>
      </c>
      <c r="H6" s="60">
        <f>+'Gestión de la Información'!E9</f>
        <v>0</v>
      </c>
      <c r="I6" s="60">
        <f>+'Gestión de Recursos Físicos'!E10</f>
        <v>0</v>
      </c>
      <c r="J6" s="60">
        <f>+'Gestión de Talento Humano'!E12</f>
        <v>0</v>
      </c>
      <c r="K6" s="60">
        <f>+'Gestión Financiera'!E9</f>
        <v>0</v>
      </c>
      <c r="L6" s="60">
        <f>+'Gestión Jurídica'!E7</f>
        <v>0</v>
      </c>
      <c r="M6" s="60">
        <f>+'Gestion del Mejoramiento'!E10</f>
        <v>0</v>
      </c>
      <c r="N6" s="225"/>
    </row>
    <row r="7" spans="2:14" ht="39" customHeight="1" x14ac:dyDescent="0.2">
      <c r="B7" s="28" t="s">
        <v>162</v>
      </c>
      <c r="C7" s="64">
        <f>+'Direccionamiento Estrategico'!F8</f>
        <v>0</v>
      </c>
      <c r="D7" s="60">
        <f>+'Atención al Cliente'!F8</f>
        <v>0</v>
      </c>
      <c r="E7" s="60">
        <f>+Bienestar!E8</f>
        <v>0</v>
      </c>
      <c r="F7" s="60">
        <f>+Cartera!F8</f>
        <v>0</v>
      </c>
      <c r="G7" s="60">
        <f>+'Gestión Contractual'!F7</f>
        <v>0</v>
      </c>
      <c r="H7" s="60">
        <f>+'Gestión de la Información'!F9</f>
        <v>0</v>
      </c>
      <c r="I7" s="60">
        <f>+'Gestión de Recursos Físicos'!F10</f>
        <v>0</v>
      </c>
      <c r="J7" s="60">
        <f>+'Gestión de Talento Humano'!F12</f>
        <v>0</v>
      </c>
      <c r="K7" s="60">
        <f>+'Gestión Financiera'!F9</f>
        <v>0</v>
      </c>
      <c r="L7" s="60">
        <f>+'Gestión Jurídica'!F7</f>
        <v>0</v>
      </c>
      <c r="M7" s="60">
        <f>+'Gestion del Mejoramiento'!F10</f>
        <v>0</v>
      </c>
      <c r="N7" s="225"/>
    </row>
    <row r="8" spans="2:14" ht="42" customHeight="1" x14ac:dyDescent="0.2">
      <c r="B8" s="28" t="s">
        <v>223</v>
      </c>
      <c r="C8" s="34">
        <f>SUM(C4:C7)</f>
        <v>0.25</v>
      </c>
      <c r="D8" s="34">
        <f>SUM(D4:D7)</f>
        <v>0.24318997201458456</v>
      </c>
      <c r="E8" s="34">
        <f>SUM(E4:E7)</f>
        <v>0.11959940407217347</v>
      </c>
      <c r="F8" s="34">
        <f>SUM(F4:F7)</f>
        <v>0.11887999283553496</v>
      </c>
      <c r="G8" s="34">
        <f>SUM(G4:G7)</f>
        <v>0.13888888888888887</v>
      </c>
      <c r="H8" s="34">
        <f t="shared" ref="H8:M8" si="0">SUM(H4:H7)</f>
        <v>0.22000000000000003</v>
      </c>
      <c r="I8" s="34">
        <f t="shared" si="0"/>
        <v>0.16666666666666666</v>
      </c>
      <c r="J8" s="34">
        <f t="shared" si="0"/>
        <v>0.15886652906776746</v>
      </c>
      <c r="K8" s="34">
        <f t="shared" si="0"/>
        <v>0.17711536447714837</v>
      </c>
      <c r="L8" s="34">
        <f t="shared" si="0"/>
        <v>0.10366666666666667</v>
      </c>
      <c r="M8" s="34">
        <f t="shared" si="0"/>
        <v>9.1269841269841279E-2</v>
      </c>
      <c r="N8" s="225"/>
    </row>
    <row r="13" spans="2:14" x14ac:dyDescent="0.2">
      <c r="H13" s="23"/>
    </row>
    <row r="14" spans="2:14" x14ac:dyDescent="0.2">
      <c r="H14" s="24"/>
    </row>
    <row r="16" spans="2:14" x14ac:dyDescent="0.2">
      <c r="H16" s="23"/>
    </row>
    <row r="17" spans="9:11" x14ac:dyDescent="0.2">
      <c r="K17" s="25"/>
    </row>
    <row r="18" spans="9:11" x14ac:dyDescent="0.2">
      <c r="I18" s="23"/>
      <c r="K18" s="25"/>
    </row>
    <row r="19" spans="9:11" x14ac:dyDescent="0.2">
      <c r="I19" s="24"/>
      <c r="K19" s="25"/>
    </row>
    <row r="20" spans="9:11" x14ac:dyDescent="0.2">
      <c r="I20" s="23"/>
    </row>
  </sheetData>
  <mergeCells count="2">
    <mergeCell ref="N4:N8"/>
    <mergeCell ref="B2:N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8"/>
  <sheetViews>
    <sheetView zoomScale="90" zoomScaleNormal="90" workbookViewId="0">
      <selection activeCell="I7" sqref="I7:L7"/>
    </sheetView>
  </sheetViews>
  <sheetFormatPr baseColWidth="10" defaultColWidth="11.42578125" defaultRowHeight="14.25" x14ac:dyDescent="0.2"/>
  <cols>
    <col min="1" max="1" width="4.42578125" style="29" customWidth="1"/>
    <col min="2" max="2" width="40.28515625" style="29" customWidth="1"/>
    <col min="3" max="3" width="13.7109375" style="29" bestFit="1" customWidth="1"/>
    <col min="4" max="6" width="11.42578125" style="29"/>
    <col min="7" max="7" width="16.42578125" style="29" customWidth="1"/>
    <col min="8" max="8" width="6" style="29" customWidth="1"/>
    <col min="9" max="12" width="20.7109375" style="29" customWidth="1"/>
    <col min="13" max="16384" width="11.42578125" style="29"/>
  </cols>
  <sheetData>
    <row r="1" spans="2:12" ht="15" thickBot="1" x14ac:dyDescent="0.25"/>
    <row r="2" spans="2:12" ht="21" thickBot="1" x14ac:dyDescent="0.35">
      <c r="B2" s="229" t="s">
        <v>225</v>
      </c>
      <c r="C2" s="229"/>
      <c r="D2" s="229"/>
      <c r="E2" s="229"/>
      <c r="F2" s="229"/>
      <c r="G2" s="229"/>
      <c r="I2" s="229" t="s">
        <v>535</v>
      </c>
      <c r="J2" s="229"/>
      <c r="K2" s="229"/>
      <c r="L2" s="229"/>
    </row>
    <row r="3" spans="2:12" ht="45.75" thickBot="1" x14ac:dyDescent="0.25">
      <c r="B3" s="30" t="s">
        <v>164</v>
      </c>
      <c r="C3" s="30" t="s">
        <v>165</v>
      </c>
      <c r="D3" s="30" t="s">
        <v>166</v>
      </c>
      <c r="E3" s="30" t="s">
        <v>167</v>
      </c>
      <c r="F3" s="30" t="s">
        <v>168</v>
      </c>
      <c r="G3" s="30" t="s">
        <v>410</v>
      </c>
      <c r="I3" s="140" t="s">
        <v>531</v>
      </c>
      <c r="J3" s="140" t="s">
        <v>532</v>
      </c>
      <c r="K3" s="140" t="s">
        <v>533</v>
      </c>
      <c r="L3" s="140" t="s">
        <v>534</v>
      </c>
    </row>
    <row r="4" spans="2:12" ht="72" thickBot="1" x14ac:dyDescent="0.25">
      <c r="B4" s="33" t="str">
        <f>+'Plan de acción 2024'!G11</f>
        <v>Seguimiento y consolidación del Formulario Único de Reporte de Avances de la Gestión "FURAG" y evaluación del Modelo Integrado de Planeación y Gestión  "MIPG"</v>
      </c>
      <c r="C4" s="22" t="str">
        <f>'Plan de acción 2024'!V11</f>
        <v>N/A</v>
      </c>
      <c r="D4" s="22" t="str">
        <f>'Plan de acción 2024'!Y11</f>
        <v>N/A</v>
      </c>
      <c r="E4" s="22">
        <f>'Plan de acción 2024'!AB11</f>
        <v>0</v>
      </c>
      <c r="F4" s="22" t="str">
        <f>'Plan de acción 2024'!AE11</f>
        <v>N/A</v>
      </c>
      <c r="G4" s="22">
        <f>SUMIF(C4:F4,"&gt;0",C4:F4)</f>
        <v>0</v>
      </c>
      <c r="I4" s="141" t="str">
        <f>IF('Plan de acción 2024'!AK11="","",'Plan de acción 2024'!AK11)</f>
        <v>N/A</v>
      </c>
      <c r="J4" s="141" t="str">
        <f>IF('Plan de acción 2024'!AL11="","",'Plan de acción 2024'!AL11)</f>
        <v/>
      </c>
      <c r="K4" s="141" t="str">
        <f>IF('Plan de acción 2024'!AO11="","",'Plan de acción 2024'!AO11)</f>
        <v/>
      </c>
      <c r="L4" s="141" t="str">
        <f>IF('Plan de acción 2024'!AQ11="","",'Plan de acción 2024'!AQ11)</f>
        <v/>
      </c>
    </row>
    <row r="5" spans="2:12" ht="29.25" thickBot="1" x14ac:dyDescent="0.25">
      <c r="B5" s="33" t="str">
        <f>+'Plan de acción 2024'!G12</f>
        <v>Seguimiento a los 12 planes del Decreto 612 de 2018</v>
      </c>
      <c r="C5" s="22">
        <f>'Plan de acción 2024'!V12</f>
        <v>0.25</v>
      </c>
      <c r="D5" s="22">
        <f>'Plan de acción 2024'!Y12</f>
        <v>0</v>
      </c>
      <c r="E5" s="22">
        <f>'Plan de acción 2024'!AB12</f>
        <v>0</v>
      </c>
      <c r="F5" s="22">
        <f>'Plan de acción 2024'!AE12</f>
        <v>0</v>
      </c>
      <c r="G5" s="22">
        <f t="shared" ref="G5:G7" si="0">SUMIF(C5:F5,"&gt;0",C5:F5)</f>
        <v>0.25</v>
      </c>
      <c r="I5" s="141" t="str">
        <f>IF('Plan de acción 2024'!AK12="","",'Plan de acción 2024'!AK12)</f>
        <v>N/A</v>
      </c>
      <c r="J5" s="141" t="str">
        <f>IF('Plan de acción 2024'!AM12="","",'Plan de acción 2024'!AM12)</f>
        <v/>
      </c>
      <c r="K5" s="141" t="str">
        <f>IF('Plan de acción 2024'!AO12="","",'Plan de acción 2024'!AO12)</f>
        <v/>
      </c>
      <c r="L5" s="141" t="str">
        <f>IF('Plan de acción 2024'!AQ12="","",'Plan de acción 2024'!AQ12)</f>
        <v/>
      </c>
    </row>
    <row r="6" spans="2:12" ht="43.5" thickBot="1" x14ac:dyDescent="0.25">
      <c r="B6" s="33" t="str">
        <f>+'Plan de acción 2024'!G13</f>
        <v>Seguimiento y publicación del plan de acción de la Corporación Social de Cundinamarca</v>
      </c>
      <c r="C6" s="22">
        <f>'Plan de acción 2024'!V13</f>
        <v>0.25</v>
      </c>
      <c r="D6" s="22">
        <f>'Plan de acción 2024'!Y13</f>
        <v>0</v>
      </c>
      <c r="E6" s="22">
        <f>'Plan de acción 2024'!AB13</f>
        <v>0</v>
      </c>
      <c r="F6" s="22">
        <f>'Plan de acción 2024'!AE13</f>
        <v>0</v>
      </c>
      <c r="G6" s="22">
        <f t="shared" si="0"/>
        <v>0.25</v>
      </c>
      <c r="I6" s="141" t="str">
        <f>IF('Plan de acción 2024'!AK13="","",'Plan de acción 2024'!AK13)</f>
        <v>N/A</v>
      </c>
      <c r="J6" s="141" t="str">
        <f>IF('Plan de acción 2024'!AM13="","",'Plan de acción 2024'!AM13)</f>
        <v/>
      </c>
      <c r="K6" s="141" t="str">
        <f>IF('Plan de acción 2024'!AO13="","",'Plan de acción 2024'!AO13)</f>
        <v/>
      </c>
      <c r="L6" s="141" t="str">
        <f>IF('Plan de acción 2024'!AQ13="","",'Plan de acción 2024'!AQ13)</f>
        <v/>
      </c>
    </row>
    <row r="7" spans="2:12" ht="29.25" thickBot="1" x14ac:dyDescent="0.25">
      <c r="B7" s="33" t="str">
        <f>+'Plan de acción 2024'!G14</f>
        <v>Seguimiento y actualización al Sistema Único de Información de trámites -SUIT</v>
      </c>
      <c r="C7" s="22">
        <f>'Plan de acción 2024'!V14</f>
        <v>0.25</v>
      </c>
      <c r="D7" s="22">
        <f>'Plan de acción 2024'!Y14</f>
        <v>0</v>
      </c>
      <c r="E7" s="22">
        <f>'Plan de acción 2024'!AB14</f>
        <v>0</v>
      </c>
      <c r="F7" s="22">
        <f>'Plan de acción 2024'!AE14</f>
        <v>0</v>
      </c>
      <c r="G7" s="22">
        <f t="shared" si="0"/>
        <v>0.25</v>
      </c>
      <c r="I7" s="142" t="str">
        <f>IF('Plan de acción 2024'!AK14="","",'Plan de acción 2024'!AK14)</f>
        <v>N/A</v>
      </c>
      <c r="J7" s="142" t="str">
        <f>IF('Plan de acción 2024'!AM14="","",'Plan de acción 2024'!AM14)</f>
        <v/>
      </c>
      <c r="K7" s="142" t="str">
        <f>IF('Plan de acción 2024'!AO14="","",'Plan de acción 2024'!AO14)</f>
        <v/>
      </c>
      <c r="L7" s="142" t="str">
        <f>IF('Plan de acción 2024'!AQ14="","",'Plan de acción 2024'!AQ14)</f>
        <v/>
      </c>
    </row>
    <row r="8" spans="2:12" ht="31.5" customHeight="1" thickBot="1" x14ac:dyDescent="0.25">
      <c r="B8" s="32" t="s">
        <v>169</v>
      </c>
      <c r="C8" s="31">
        <f>+AVERAGE(C4:C7)</f>
        <v>0.25</v>
      </c>
      <c r="D8" s="31">
        <f>+AVERAGE(D4:D7)</f>
        <v>0</v>
      </c>
      <c r="E8" s="31">
        <f>+AVERAGE(E4:E7)</f>
        <v>0</v>
      </c>
      <c r="F8" s="31">
        <f>+AVERAGE(F4:F7)</f>
        <v>0</v>
      </c>
      <c r="G8" s="31">
        <f>+AVERAGE(G4:G7)</f>
        <v>0.1875</v>
      </c>
    </row>
  </sheetData>
  <mergeCells count="2">
    <mergeCell ref="B2:G2"/>
    <mergeCell ref="I2:L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8"/>
  <sheetViews>
    <sheetView zoomScale="90" zoomScaleNormal="90" workbookViewId="0">
      <selection activeCell="I4" sqref="I4"/>
    </sheetView>
  </sheetViews>
  <sheetFormatPr baseColWidth="10" defaultColWidth="10.85546875" defaultRowHeight="14.25" x14ac:dyDescent="0.2"/>
  <cols>
    <col min="1" max="1" width="3.7109375" style="21" customWidth="1"/>
    <col min="2" max="2" width="31.140625" style="21" customWidth="1"/>
    <col min="3" max="6" width="10.85546875" style="21"/>
    <col min="7" max="7" width="17" style="21" customWidth="1"/>
    <col min="8" max="8" width="6" style="21" customWidth="1"/>
    <col min="9" max="12" width="20.7109375" style="21" customWidth="1"/>
    <col min="13" max="16384" width="10.85546875" style="21"/>
  </cols>
  <sheetData>
    <row r="1" spans="2:12" ht="15" thickBot="1" x14ac:dyDescent="0.25"/>
    <row r="2" spans="2:12" s="36" customFormat="1" ht="35.25" customHeight="1" thickBot="1" x14ac:dyDescent="0.3">
      <c r="B2" s="230" t="s">
        <v>163</v>
      </c>
      <c r="C2" s="230"/>
      <c r="D2" s="230"/>
      <c r="E2" s="230"/>
      <c r="F2" s="230"/>
      <c r="G2" s="230"/>
      <c r="I2" s="230" t="s">
        <v>535</v>
      </c>
      <c r="J2" s="230"/>
      <c r="K2" s="230"/>
      <c r="L2" s="230"/>
    </row>
    <row r="3" spans="2:12" ht="45.75" thickBot="1" x14ac:dyDescent="0.25">
      <c r="B3" s="46" t="s">
        <v>164</v>
      </c>
      <c r="C3" s="46" t="s">
        <v>165</v>
      </c>
      <c r="D3" s="46" t="s">
        <v>166</v>
      </c>
      <c r="E3" s="46" t="s">
        <v>167</v>
      </c>
      <c r="F3" s="46" t="s">
        <v>168</v>
      </c>
      <c r="G3" s="46" t="s">
        <v>410</v>
      </c>
      <c r="I3" s="133" t="s">
        <v>531</v>
      </c>
      <c r="J3" s="133" t="s">
        <v>532</v>
      </c>
      <c r="K3" s="133" t="s">
        <v>533</v>
      </c>
      <c r="L3" s="133" t="s">
        <v>534</v>
      </c>
    </row>
    <row r="4" spans="2:12" ht="26.25" thickBot="1" x14ac:dyDescent="0.25">
      <c r="B4" s="38" t="str">
        <f>+'Plan de acción 2024'!G15</f>
        <v xml:space="preserve">Atender las PQRSDF dentro de los términos legales. </v>
      </c>
      <c r="C4" s="39">
        <f>+'Plan de acción 2024'!V15</f>
        <v>0.22807017543859651</v>
      </c>
      <c r="D4" s="39">
        <f>+'Plan de acción 2024'!Y15</f>
        <v>0</v>
      </c>
      <c r="E4" s="39">
        <f>+'Plan de acción 2024'!AB15</f>
        <v>0</v>
      </c>
      <c r="F4" s="39">
        <f>+'Plan de acción 2024'!AE15</f>
        <v>0</v>
      </c>
      <c r="G4" s="39">
        <f>SUMIF(C4:F4,"&gt;0",C4:F4)</f>
        <v>0.22807017543859651</v>
      </c>
      <c r="I4" s="141" t="str">
        <f>IF('Plan de acción 2024'!AK15="","",'Plan de acción 2024'!AK15)</f>
        <v/>
      </c>
      <c r="J4" s="141" t="str">
        <f>IF('Plan de acción 2024'!AM15="","",'Plan de acción 2024'!AM15)</f>
        <v/>
      </c>
      <c r="K4" s="141" t="str">
        <f>IF('Plan de acción 2024'!AO15="","",'Plan de acción 2024'!AO15)</f>
        <v/>
      </c>
      <c r="L4" s="141" t="str">
        <f>IF('Plan de acción 2024'!AQ15="","",'Plan de acción 2024'!AQ15)</f>
        <v/>
      </c>
    </row>
    <row r="5" spans="2:12" ht="39" thickBot="1" x14ac:dyDescent="0.25">
      <c r="B5" s="38" t="str">
        <f>+'Plan de acción 2024'!G16</f>
        <v xml:space="preserve">Medir la satisfacción del cliente externo, mínimo del 70% de la población atendida </v>
      </c>
      <c r="C5" s="39">
        <f>+'Plan de acción 2024'!V16</f>
        <v>0.24468971261974176</v>
      </c>
      <c r="D5" s="39">
        <f>+'Plan de acción 2024'!Y16</f>
        <v>0</v>
      </c>
      <c r="E5" s="39">
        <f>+'Plan de acción 2024'!AB16</f>
        <v>0</v>
      </c>
      <c r="F5" s="39">
        <f>+'Plan de acción 2024'!AE16</f>
        <v>0</v>
      </c>
      <c r="G5" s="39">
        <f t="shared" ref="G5:G7" si="0">SUMIF(C5:F5,"&gt;0",C5:F5)</f>
        <v>0.24468971261974176</v>
      </c>
      <c r="I5" s="141" t="str">
        <f>IF('Plan de acción 2024'!AK16="","",'Plan de acción 2024'!AK16)</f>
        <v>Se evidencia un total de 49 personas encuestadas , donde los resultados de satisfacción del servicio son positivos, con altos niveles de satisfacción en la mayoría de los aspectos evaluados. No obstante, es importante atender aquellos items donde su calificación es aceptable para incluir acciones de mejora que permitan incrementar los niveles de satisfacción del servicio brindado. Se recomienda fortalecer el informe presentado con análisis en cada gráfica.</v>
      </c>
      <c r="J5" s="141" t="str">
        <f>IF('Plan de acción 2024'!AM16="","",'Plan de acción 2024'!AM16)</f>
        <v/>
      </c>
      <c r="K5" s="141" t="str">
        <f>IF('Plan de acción 2024'!AO16="","",'Plan de acción 2024'!AO16)</f>
        <v/>
      </c>
      <c r="L5" s="141" t="str">
        <f>IF('Plan de acción 2024'!AQ16="","",'Plan de acción 2024'!AQ16)</f>
        <v/>
      </c>
    </row>
    <row r="6" spans="2:12" ht="26.25" thickBot="1" x14ac:dyDescent="0.25">
      <c r="B6" s="38" t="str">
        <f>+'Plan de acción 2024'!G17</f>
        <v>Seguimiento al Plan de Comunicaciones de la CSC</v>
      </c>
      <c r="C6" s="39">
        <f>+'Plan de acción 2024'!V17</f>
        <v>0.25</v>
      </c>
      <c r="D6" s="39">
        <f>+'Plan de acción 2024'!Y17</f>
        <v>0</v>
      </c>
      <c r="E6" s="39">
        <f>+'Plan de acción 2024'!AB17</f>
        <v>0</v>
      </c>
      <c r="F6" s="39">
        <f>+'Plan de acción 2024'!AE17</f>
        <v>0</v>
      </c>
      <c r="G6" s="39">
        <f t="shared" si="0"/>
        <v>0.25</v>
      </c>
      <c r="I6" s="141" t="str">
        <f>IF('Plan de acción 2024'!AK17="","",'Plan de acción 2024'!AK17)</f>
        <v>El indicador cumple satisfactoriamnete con lo programado. El seguimiento y cumplimiento de las actividades del primer trimestre de 2024 reflejan un compromiso claro hacia la satisfacción y fidelización los afiliados. Se recomienda actualizar el informe que corresponda al periodo evaluado.</v>
      </c>
      <c r="J6" s="141" t="str">
        <f>IF('Plan de acción 2024'!AM17="","",'Plan de acción 2024'!AM17)</f>
        <v/>
      </c>
      <c r="K6" s="141" t="str">
        <f>IF('Plan de acción 2024'!AO17="","",'Plan de acción 2024'!AO17)</f>
        <v/>
      </c>
      <c r="L6" s="141" t="str">
        <f>IF('Plan de acción 2024'!AQ17="","",'Plan de acción 2024'!AQ17)</f>
        <v/>
      </c>
    </row>
    <row r="7" spans="2:12" ht="26.25" thickBot="1" x14ac:dyDescent="0.25">
      <c r="B7" s="38" t="str">
        <f>+'Plan de acción 2024'!G18</f>
        <v xml:space="preserve">Realizar nuevas vinculaciones durante el cuatrienio </v>
      </c>
      <c r="C7" s="39">
        <f>+'Plan de acción 2024'!V18</f>
        <v>0.25</v>
      </c>
      <c r="D7" s="39">
        <f>+'Plan de acción 2024'!Y18</f>
        <v>0</v>
      </c>
      <c r="E7" s="39">
        <f>+'Plan de acción 2024'!AB18</f>
        <v>0</v>
      </c>
      <c r="F7" s="39">
        <f>+'Plan de acción 2024'!AE18</f>
        <v>0</v>
      </c>
      <c r="G7" s="39">
        <f t="shared" si="0"/>
        <v>0.25</v>
      </c>
      <c r="I7" s="142" t="str">
        <f>IF('Plan de acción 2024'!AK18="","",'Plan de acción 2024'!AK18)</f>
        <v>El indicador cumple con lo programado.  Este resultado fortalece la base de afiliados y contribuye al crecimiento y sostenibilidad de la entidad.</v>
      </c>
      <c r="J7" s="142" t="str">
        <f>IF('Plan de acción 2024'!AM18="","",'Plan de acción 2024'!AM18)</f>
        <v/>
      </c>
      <c r="K7" s="142" t="str">
        <f>IF('Plan de acción 2024'!AO18="","",'Plan de acción 2024'!AO18)</f>
        <v/>
      </c>
      <c r="L7" s="142" t="str">
        <f>IF('Plan de acción 2024'!AQ18="","",'Plan de acción 2024'!AQ18)</f>
        <v/>
      </c>
    </row>
    <row r="8" spans="2:12" ht="15.75" thickBot="1" x14ac:dyDescent="0.25">
      <c r="B8" s="35" t="s">
        <v>169</v>
      </c>
      <c r="C8" s="31">
        <f>+AVERAGE(C4:C7)</f>
        <v>0.24318997201458456</v>
      </c>
      <c r="D8" s="31">
        <f>+AVERAGE(D4:D7)</f>
        <v>0</v>
      </c>
      <c r="E8" s="31">
        <f>+AVERAGE(E4:E7)</f>
        <v>0</v>
      </c>
      <c r="F8" s="31">
        <f>+AVERAGE(F4:F7)</f>
        <v>0</v>
      </c>
      <c r="G8" s="31">
        <f>+AVERAGE(G4:G7)</f>
        <v>0.24318997201458456</v>
      </c>
    </row>
  </sheetData>
  <mergeCells count="2">
    <mergeCell ref="B2:G2"/>
    <mergeCell ref="I2:L2"/>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7"/>
  <sheetViews>
    <sheetView zoomScale="90" zoomScaleNormal="90" workbookViewId="0">
      <selection activeCell="I2" sqref="I2:L2"/>
    </sheetView>
  </sheetViews>
  <sheetFormatPr baseColWidth="10" defaultColWidth="10.85546875" defaultRowHeight="15" x14ac:dyDescent="0.25"/>
  <cols>
    <col min="1" max="1" width="4.28515625" style="37" customWidth="1"/>
    <col min="2" max="2" width="53.7109375" style="37" customWidth="1"/>
    <col min="3" max="6" width="10.85546875" style="37"/>
    <col min="7" max="7" width="18.7109375" style="37" customWidth="1"/>
    <col min="8" max="8" width="6" style="37" customWidth="1"/>
    <col min="9" max="9" width="62.85546875" style="37" customWidth="1"/>
    <col min="10" max="12" width="20.7109375" style="37" customWidth="1"/>
    <col min="13" max="16384" width="10.85546875" style="37"/>
  </cols>
  <sheetData>
    <row r="1" spans="2:12" ht="15.75" thickBot="1" x14ac:dyDescent="0.3"/>
    <row r="2" spans="2:12" ht="24" thickBot="1" x14ac:dyDescent="0.4">
      <c r="B2" s="231" t="s">
        <v>170</v>
      </c>
      <c r="C2" s="231"/>
      <c r="D2" s="231"/>
      <c r="E2" s="231"/>
      <c r="F2" s="231"/>
      <c r="G2" s="231"/>
      <c r="I2" s="231" t="s">
        <v>564</v>
      </c>
      <c r="J2" s="231"/>
      <c r="K2" s="231"/>
      <c r="L2" s="231"/>
    </row>
    <row r="3" spans="2:12" ht="45.75" thickBot="1" x14ac:dyDescent="0.3">
      <c r="B3" s="46" t="s">
        <v>164</v>
      </c>
      <c r="C3" s="133" t="s">
        <v>237</v>
      </c>
      <c r="D3" s="133" t="s">
        <v>238</v>
      </c>
      <c r="E3" s="133" t="s">
        <v>239</v>
      </c>
      <c r="F3" s="133" t="s">
        <v>240</v>
      </c>
      <c r="G3" s="133" t="s">
        <v>410</v>
      </c>
      <c r="I3" s="133" t="s">
        <v>531</v>
      </c>
      <c r="J3" s="133" t="s">
        <v>532</v>
      </c>
      <c r="K3" s="133" t="s">
        <v>533</v>
      </c>
      <c r="L3" s="133" t="s">
        <v>534</v>
      </c>
    </row>
    <row r="4" spans="2:12" ht="57" customHeight="1" thickBot="1" x14ac:dyDescent="0.3">
      <c r="B4" s="132" t="str">
        <f>+'Plan de acción 2024'!G19</f>
        <v>Beneficiar el 20% de los afiliados y beneficiarios con las actividades y servicios de bienestar que presta la Corporación.</v>
      </c>
      <c r="C4" s="135">
        <f>+'Plan de acción 2024'!V19</f>
        <v>0.23919880814434694</v>
      </c>
      <c r="D4" s="135">
        <f>+'Plan de acción 2024'!Y19</f>
        <v>0</v>
      </c>
      <c r="E4" s="135">
        <f>+'Plan de acción 2024'!AB19</f>
        <v>0</v>
      </c>
      <c r="F4" s="135">
        <f>+'Plan de acción 2024'!AE19</f>
        <v>0</v>
      </c>
      <c r="G4" s="135">
        <f>SUMIF(C4:F4,"&gt;0",C4:F4)</f>
        <v>0.23919880814434694</v>
      </c>
      <c r="I4" s="146" t="str">
        <f>IF('Plan de acción 2024'!AK19="","",'Plan de acción 2024'!AK19)</f>
        <v>La verificación realizada confirma que los procedimientos para la entrega de obsequios a los afiliados se están ejecutando correctamente, lo que asegura el cumplimiento del indicador. Se recomienda continuar con el registro detallado para garantizar la consistencia y la transparencia en el proceso.</v>
      </c>
      <c r="J4" s="143" t="str">
        <f>IF('Plan de acción 2024'!AM19="","",'Plan de acción 2024'!AM19)</f>
        <v/>
      </c>
      <c r="K4" s="143" t="str">
        <f>IF('Plan de acción 2024'!AO19="","",'Plan de acción 2024'!AO19)</f>
        <v/>
      </c>
      <c r="L4" s="143" t="str">
        <f>IF('Plan de acción 2024'!AQ19="","",'Plan de acción 2024'!AQ19)</f>
        <v/>
      </c>
    </row>
    <row r="5" spans="2:12" ht="77.25" customHeight="1" thickBot="1" x14ac:dyDescent="0.3">
      <c r="B5" s="132" t="str">
        <f>+'Plan de acción 2024'!G20</f>
        <v>Beneficiar a los afiliados con actividades   encaminadas a difundir y promocionar el portafolio de servicios de la entidad. Asesorando y tramitando tanto créditos como afiliaciones de manera virtual y presencial  en los diferentes municipios del Departamento.</v>
      </c>
      <c r="C5" s="135">
        <f>+'Plan de acción 2024'!V20</f>
        <v>0</v>
      </c>
      <c r="D5" s="135">
        <f>+'Plan de acción 2024'!Y20</f>
        <v>0</v>
      </c>
      <c r="E5" s="135">
        <f>+'Plan de acción 2024'!AB20</f>
        <v>0</v>
      </c>
      <c r="F5" s="135">
        <f>+'Plan de acción 2024'!AE20</f>
        <v>0</v>
      </c>
      <c r="G5" s="135">
        <f t="shared" ref="G5:G6" si="0">SUMIF(C5:F5,"&gt;0",C5:F5)</f>
        <v>0</v>
      </c>
      <c r="I5" s="146" t="str">
        <f>IF('Plan de acción 2024'!AK20="","",'Plan de acción 2024'!AK20)</f>
        <v>Se evidencia la falta de contratación de asesores comerciales en la entidad, lo cual impide el inicio de las visitas a los municipios e impacta negativamente el cumplimiento del indicador. Se recomienda ajustar el cronograma de visitas para compensar el tiempo perdido,  asegurando que las visitas a los municipios del departamento puedan ser realizadas de manera eficiente una vez el personal esté contratado.</v>
      </c>
      <c r="J5" s="143" t="str">
        <f>IF('Plan de acción 2024'!AM20="","",'Plan de acción 2024'!AM20)</f>
        <v/>
      </c>
      <c r="K5" s="143" t="str">
        <f>IF('Plan de acción 2024'!AO20="","",'Plan de acción 2024'!AO20)</f>
        <v/>
      </c>
      <c r="L5" s="143" t="str">
        <f>IF('Plan de acción 2024'!AQ20="","",'Plan de acción 2024'!AQ20)</f>
        <v/>
      </c>
    </row>
    <row r="6" spans="2:12" ht="75" customHeight="1" thickBot="1" x14ac:dyDescent="0.3">
      <c r="B6" s="132" t="str">
        <f>+'Plan de acción 2024'!G21</f>
        <v xml:space="preserve">Beneficiar a los hijos de nuestros afiliados con incentivo económico que exalta el desempeño académico ICFES SABER 11 y estudiantes  que iniciaron con anterioridad  sus actividades académicas  de nivel superior  y obtuvieron en el último certificado de notas promedio ponderado igual o superior a 3.8 o su equivalente y que cumplan los requisitos establecidos por la entidad.  </v>
      </c>
      <c r="C6" s="135" t="str">
        <f>+'Plan de acción 2024'!V21</f>
        <v>N/A</v>
      </c>
      <c r="D6" s="135">
        <f>+'Plan de acción 2024'!Y21</f>
        <v>0</v>
      </c>
      <c r="E6" s="135" t="str">
        <f>+'Plan de acción 2024'!AB21</f>
        <v>N/A</v>
      </c>
      <c r="F6" s="135">
        <f>+'Plan de acción 2024'!AE21</f>
        <v>0</v>
      </c>
      <c r="G6" s="135">
        <f t="shared" si="0"/>
        <v>0</v>
      </c>
      <c r="I6" s="147" t="str">
        <f>IF('Plan de acción 2024'!AK21="","",'Plan de acción 2024'!AK21)</f>
        <v>La ejecución de 10 subsidios educativos en el primer trimestre muestra que se ha ejecutado el 33% (10 de 30) de los subsidios activos durante el primer Semestre. Este avance representa un tercio del total, lo cual indica un progreso moderado hacia la meta. Se recomienda fortalecer la comunicación con los beneficiarios para asegurar que estén al tanto de los requisitos y plazos para recibir los subsidios, facilitando así su acceso a los mismos.</v>
      </c>
      <c r="J6" s="144" t="str">
        <f>IF('Plan de acción 2024'!AM21="","",'Plan de acción 2024'!AM21)</f>
        <v/>
      </c>
      <c r="K6" s="144" t="str">
        <f>IF('Plan de acción 2024'!AO21="","",'Plan de acción 2024'!AO21)</f>
        <v/>
      </c>
      <c r="L6" s="144" t="str">
        <f>IF('Plan de acción 2024'!AQ21="","",'Plan de acción 2024'!AQ21)</f>
        <v/>
      </c>
    </row>
    <row r="7" spans="2:12" s="21" customFormat="1" ht="15.75" thickBot="1" x14ac:dyDescent="0.3">
      <c r="B7" s="35" t="s">
        <v>169</v>
      </c>
      <c r="C7" s="134">
        <f>AVERAGE(C4:C6)</f>
        <v>0.11959940407217347</v>
      </c>
      <c r="D7" s="134">
        <f t="shared" ref="D7:G7" si="1">AVERAGE(D4:D6)</f>
        <v>0</v>
      </c>
      <c r="E7" s="134">
        <f t="shared" si="1"/>
        <v>0</v>
      </c>
      <c r="F7" s="134">
        <f t="shared" si="1"/>
        <v>0</v>
      </c>
      <c r="G7" s="134">
        <f t="shared" si="1"/>
        <v>7.9732936048115641E-2</v>
      </c>
      <c r="I7" s="37"/>
      <c r="J7" s="37"/>
      <c r="K7" s="37"/>
      <c r="L7" s="37"/>
    </row>
  </sheetData>
  <mergeCells count="2">
    <mergeCell ref="I2:L2"/>
    <mergeCell ref="B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7"/>
  <sheetViews>
    <sheetView zoomScale="90" zoomScaleNormal="90" workbookViewId="0">
      <selection activeCell="I6" sqref="I6"/>
    </sheetView>
  </sheetViews>
  <sheetFormatPr baseColWidth="10" defaultColWidth="10.85546875" defaultRowHeight="15" x14ac:dyDescent="0.25"/>
  <cols>
    <col min="1" max="1" width="3.42578125" style="40" customWidth="1"/>
    <col min="2" max="2" width="37.28515625" style="40" customWidth="1"/>
    <col min="3" max="3" width="11.42578125" style="40" bestFit="1" customWidth="1"/>
    <col min="4" max="5" width="11" style="40" bestFit="1" customWidth="1"/>
    <col min="6" max="6" width="10.42578125" style="40" customWidth="1"/>
    <col min="7" max="7" width="19.42578125" style="40" customWidth="1"/>
    <col min="8" max="8" width="6" style="40" customWidth="1"/>
    <col min="9" max="9" width="69.7109375" style="40" customWidth="1"/>
    <col min="10" max="12" width="20.7109375" style="40" customWidth="1"/>
    <col min="13" max="16384" width="10.85546875" style="40"/>
  </cols>
  <sheetData>
    <row r="1" spans="2:12" ht="15.75" thickBot="1" x14ac:dyDescent="0.3"/>
    <row r="2" spans="2:12" ht="24" thickBot="1" x14ac:dyDescent="0.4">
      <c r="B2" s="231" t="s">
        <v>171</v>
      </c>
      <c r="C2" s="231"/>
      <c r="D2" s="231"/>
      <c r="E2" s="231"/>
      <c r="F2" s="231"/>
      <c r="G2" s="231"/>
      <c r="I2" s="231" t="s">
        <v>564</v>
      </c>
      <c r="J2" s="231"/>
      <c r="K2" s="231"/>
      <c r="L2" s="231"/>
    </row>
    <row r="3" spans="2:12" ht="45.75" thickBot="1" x14ac:dyDescent="0.3">
      <c r="B3" s="46" t="s">
        <v>164</v>
      </c>
      <c r="C3" s="46" t="s">
        <v>165</v>
      </c>
      <c r="D3" s="46" t="s">
        <v>166</v>
      </c>
      <c r="E3" s="46" t="s">
        <v>167</v>
      </c>
      <c r="F3" s="46" t="s">
        <v>168</v>
      </c>
      <c r="G3" s="46" t="s">
        <v>410</v>
      </c>
      <c r="I3" s="133" t="s">
        <v>531</v>
      </c>
      <c r="J3" s="133" t="s">
        <v>532</v>
      </c>
      <c r="K3" s="133" t="s">
        <v>533</v>
      </c>
      <c r="L3" s="133" t="s">
        <v>534</v>
      </c>
    </row>
    <row r="4" spans="2:12" ht="100.5" customHeight="1" thickBot="1" x14ac:dyDescent="0.3">
      <c r="B4" s="41" t="str">
        <f>+'Plan de acción 2024'!G22</f>
        <v xml:space="preserve">Colocación de créditos. </v>
      </c>
      <c r="C4" s="42">
        <f>+'Plan de acción 2024'!V22</f>
        <v>4.5555555555555557E-2</v>
      </c>
      <c r="D4" s="42">
        <f>+'Plan de acción 2024'!Y22</f>
        <v>0</v>
      </c>
      <c r="E4" s="42">
        <f>+'Plan de acción 2024'!AB22</f>
        <v>0</v>
      </c>
      <c r="F4" s="42">
        <f>+'Plan de acción 2024'!AE22</f>
        <v>0</v>
      </c>
      <c r="G4" s="42">
        <f>SUMIF(C4:F4,"&gt;0",C4:F4)</f>
        <v>4.5555555555555557E-2</v>
      </c>
      <c r="I4" s="146" t="str">
        <f>IF('Plan de acción 2024'!AK22="","",'Plan de acción 2024'!AK22)</f>
        <v>Se logró el 55% (82 de 150) de la meta trimestral en cuanto a la colocación de créditos. Este avance representa el 4% de la meta anual, por lo tanto, se recomienda mejorar el proceso de comunicación y seguimiento con los afiliados para asegurar que se entreguen y legalicen todos los documentos necesarios de manera oportuna. Asi como proporcionar una asistencia adicional a los afiliados durante el proceso de documentación para reducir el número de solicitudes incompletas. Desarrollar un plan de recuperación para los próximos trimestres que permita alcanzar la meta anual de desembolsos a pesar del retraso inicial.</v>
      </c>
      <c r="J4" s="143" t="str">
        <f>IF('Plan de acción 2024'!AM22="","",'Plan de acción 2024'!AM22)</f>
        <v/>
      </c>
      <c r="K4" s="143" t="str">
        <f>IF('Plan de acción 2024'!AO22="","",'Plan de acción 2024'!AO22)</f>
        <v/>
      </c>
      <c r="L4" s="143" t="str">
        <f>IF('Plan de acción 2024'!AQ22="","",'Plan de acción 2024'!AQ22)</f>
        <v/>
      </c>
    </row>
    <row r="5" spans="2:12" ht="100.5" customHeight="1" thickBot="1" x14ac:dyDescent="0.3">
      <c r="B5" s="41" t="str">
        <f>+'Plan de acción 2024'!G23</f>
        <v>Asegurar el cumplimiento de tiempos en los Créditos hipotecarios.</v>
      </c>
      <c r="C5" s="42">
        <f>+'Plan de acción 2024'!V23</f>
        <v>0.25</v>
      </c>
      <c r="D5" s="42">
        <f>+'Plan de acción 2024'!Y23</f>
        <v>0</v>
      </c>
      <c r="E5" s="42">
        <f>+'Plan de acción 2024'!AB23</f>
        <v>0</v>
      </c>
      <c r="F5" s="42">
        <f>+'Plan de acción 2024'!AE23</f>
        <v>0</v>
      </c>
      <c r="G5" s="42">
        <f t="shared" ref="G5:G6" si="0">SUMIF(C5:F5,"&gt;0",C5:F5)</f>
        <v>0.25</v>
      </c>
      <c r="I5" s="146" t="str">
        <f>IF('Plan de acción 2024'!AK23="","",'Plan de acción 2024'!AK23)</f>
        <v>De los 82 créditos desembolsados, 1 corresponde a vivienda hipotecaria y se desembolsó en menos de 45 días,  reflejando una ejecución eficiente y efectiva, cumpliendo con la meta específica para este tipo de crédito.  Se recomienda continuar con el monitoreo continuo de los procesos internos para asegurar que se mantenga la eficiencia en el desembolso de créditos hipotecarios así como identificar posibles mejoras adicionales en el proceso interno que podrían reducir aún más los tiempos de desembolso, incluso considerando los trámites externos.</v>
      </c>
      <c r="J5" s="143" t="str">
        <f>IF('Plan de acción 2024'!AM23="","",'Plan de acción 2024'!AM23)</f>
        <v/>
      </c>
      <c r="K5" s="143" t="str">
        <f>IF('Plan de acción 2024'!AO23="","",'Plan de acción 2024'!AO23)</f>
        <v/>
      </c>
      <c r="L5" s="143" t="str">
        <f>IF('Plan de acción 2024'!AQ23="","",'Plan de acción 2024'!AQ23)</f>
        <v/>
      </c>
    </row>
    <row r="6" spans="2:12" ht="100.5" customHeight="1" thickBot="1" x14ac:dyDescent="0.3">
      <c r="B6" s="41" t="str">
        <f>+'Plan de acción 2024'!G24</f>
        <v>Asegurar el cumplimiento de tiempos en el Crédito de consumo.</v>
      </c>
      <c r="C6" s="42">
        <f>+'Plan de acción 2024'!V24</f>
        <v>0.23148148148148148</v>
      </c>
      <c r="D6" s="42">
        <f>+'Plan de acción 2024'!Y24</f>
        <v>0</v>
      </c>
      <c r="E6" s="42">
        <f>+'Plan de acción 2024'!AB24</f>
        <v>0</v>
      </c>
      <c r="F6" s="42">
        <f>+'Plan de acción 2024'!AE24</f>
        <v>0</v>
      </c>
      <c r="G6" s="42">
        <f t="shared" si="0"/>
        <v>0.23148148148148148</v>
      </c>
      <c r="I6" s="147" t="str">
        <f>IF('Plan de acción 2024'!AK24="","",'Plan de acción 2024'!AK24)</f>
        <v>El 92% (75 de 81) de los créditos de consumo fueron desembolsados dentro del tiempo objetivo de 15 días, demostrando una eficiencia en el proceso interno. Los retrasos en 6 créditos resaltan la necesidad de mejorar la gestión de documentos por parte de los afiliados y la velocidad de las verificaciones. Se recomienda implementar acciones que permitan asegurar que los afiliados entreguen la documentación completa y debidamente legalizada de manera oportuna y evitar retrasos en el desembolso de los créditos.</v>
      </c>
      <c r="J6" s="144" t="str">
        <f>IF('Plan de acción 2024'!AM24="","",'Plan de acción 2024'!AM24)</f>
        <v/>
      </c>
      <c r="K6" s="144" t="str">
        <f>IF('Plan de acción 2024'!AO24="","",'Plan de acción 2024'!AO24)</f>
        <v/>
      </c>
      <c r="L6" s="144" t="str">
        <f>IF('Plan de acción 2024'!AQ24="","",'Plan de acción 2024'!AQ24)</f>
        <v/>
      </c>
    </row>
    <row r="7" spans="2:12" s="44" customFormat="1" ht="21.75" customHeight="1" thickBot="1" x14ac:dyDescent="0.3">
      <c r="B7" s="35" t="s">
        <v>169</v>
      </c>
      <c r="C7" s="45">
        <f>+AVERAGE(C4:C6)</f>
        <v>0.17567901234567904</v>
      </c>
      <c r="D7" s="45">
        <f>+AVERAGE(D4:D6)</f>
        <v>0</v>
      </c>
      <c r="E7" s="45">
        <f>+AVERAGE(E4:E6)</f>
        <v>0</v>
      </c>
      <c r="F7" s="45">
        <f>+AVERAGE(F4:F6)</f>
        <v>0</v>
      </c>
      <c r="G7" s="45">
        <f>+AVERAGE(G4:G6)</f>
        <v>0.17567901234567904</v>
      </c>
      <c r="I7" s="40"/>
      <c r="J7" s="40"/>
      <c r="K7" s="40"/>
      <c r="L7" s="40"/>
    </row>
  </sheetData>
  <mergeCells count="2">
    <mergeCell ref="B2:G2"/>
    <mergeCell ref="I2:L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8"/>
  <sheetViews>
    <sheetView zoomScale="90" zoomScaleNormal="90" workbookViewId="0">
      <selection activeCell="I4" sqref="I4:L4"/>
    </sheetView>
  </sheetViews>
  <sheetFormatPr baseColWidth="10" defaultColWidth="10.85546875" defaultRowHeight="15" x14ac:dyDescent="0.25"/>
  <cols>
    <col min="1" max="1" width="3.42578125" style="40" customWidth="1"/>
    <col min="2" max="2" width="37.28515625" style="40" customWidth="1"/>
    <col min="3" max="3" width="11.42578125" style="40" bestFit="1" customWidth="1"/>
    <col min="4" max="5" width="11" style="40" bestFit="1" customWidth="1"/>
    <col min="6" max="6" width="10.42578125" style="40" customWidth="1"/>
    <col min="7" max="7" width="19.42578125" style="40" customWidth="1"/>
    <col min="8" max="8" width="6" style="40" customWidth="1"/>
    <col min="9" max="12" width="20.7109375" style="40" customWidth="1"/>
    <col min="13" max="16384" width="10.85546875" style="40"/>
  </cols>
  <sheetData>
    <row r="1" spans="2:12" ht="15.75" thickBot="1" x14ac:dyDescent="0.3"/>
    <row r="2" spans="2:12" ht="24" thickBot="1" x14ac:dyDescent="0.4">
      <c r="B2" s="231" t="s">
        <v>171</v>
      </c>
      <c r="C2" s="231"/>
      <c r="D2" s="231"/>
      <c r="E2" s="231"/>
      <c r="F2" s="231"/>
      <c r="G2" s="231"/>
      <c r="I2" s="231" t="s">
        <v>535</v>
      </c>
      <c r="J2" s="231"/>
      <c r="K2" s="231"/>
      <c r="L2" s="231"/>
    </row>
    <row r="3" spans="2:12" ht="45.75" thickBot="1" x14ac:dyDescent="0.3">
      <c r="B3" s="46" t="s">
        <v>164</v>
      </c>
      <c r="C3" s="46" t="s">
        <v>165</v>
      </c>
      <c r="D3" s="46" t="s">
        <v>166</v>
      </c>
      <c r="E3" s="46" t="s">
        <v>167</v>
      </c>
      <c r="F3" s="46" t="s">
        <v>168</v>
      </c>
      <c r="G3" s="46" t="s">
        <v>410</v>
      </c>
      <c r="I3" s="133" t="s">
        <v>531</v>
      </c>
      <c r="J3" s="133" t="s">
        <v>532</v>
      </c>
      <c r="K3" s="133" t="s">
        <v>533</v>
      </c>
      <c r="L3" s="133" t="s">
        <v>534</v>
      </c>
    </row>
    <row r="4" spans="2:12" ht="46.5" customHeight="1" thickBot="1" x14ac:dyDescent="0.3">
      <c r="B4" s="41" t="str">
        <f>+'Plan de acción 2024'!G25</f>
        <v xml:space="preserve">Disminuir el porcentaje de cartera vencida por debajo del 24%. </v>
      </c>
      <c r="C4" s="42">
        <f>+'Plan de acción 2024'!V25</f>
        <v>0.11416666666666658</v>
      </c>
      <c r="D4" s="42">
        <f>+'Plan de acción 2024'!Y25</f>
        <v>0</v>
      </c>
      <c r="E4" s="42">
        <f>+'Plan de acción 2024'!AB25</f>
        <v>0</v>
      </c>
      <c r="F4" s="42">
        <f>+'Plan de acción 2024'!AE25</f>
        <v>0</v>
      </c>
      <c r="G4" s="42">
        <f>SUMIF(C4:F4,"&gt;0",C4:F4)</f>
        <v>0.11416666666666658</v>
      </c>
      <c r="I4" s="143" t="str">
        <f>IF('Plan de acción 2024'!AK25="","",'Plan de acción 2024'!AK25)</f>
        <v xml:space="preserve">
Planeación: El aumento del indicador de cartera jurídica al 27% refleja un incumplimiento significativo respecto a la meta del 24%. Este incremento sugiere la necesidad de implementar medidas correctivas urgentes para controlar y reducir la cartera jurídica. Se recomienda revisar y mejorar los procedimientos internos de gestión de cartera para aumentar la eficiencia en la recuperación de deudas. Así como fortalecer la comunicación con los deudores actualizando las bases de pados para facilitar y promover la celebración de acuerdos de pago, ofreciendo opciones flexibles y accesibles.</v>
      </c>
      <c r="J4" s="143" t="str">
        <f>IF('Plan de acción 2024'!AM25="","",'Plan de acción 2024'!AM25)</f>
        <v/>
      </c>
      <c r="K4" s="143" t="str">
        <f>IF('Plan de acción 2024'!AO25="","",'Plan de acción 2024'!AO25)</f>
        <v/>
      </c>
      <c r="L4" s="143" t="str">
        <f>IF('Plan de acción 2024'!AQ25="","",'Plan de acción 2024'!AQ25)</f>
        <v/>
      </c>
    </row>
    <row r="5" spans="2:12" ht="33" customHeight="1" thickBot="1" x14ac:dyDescent="0.3">
      <c r="B5" s="41" t="str">
        <f>+'Plan de acción 2024'!G26</f>
        <v xml:space="preserve">Aplicar el total del valor recaudado de las diferentes pagadurías. </v>
      </c>
      <c r="C5" s="42">
        <f>+'Plan de acción 2024'!V26</f>
        <v>0.2488533046754732</v>
      </c>
      <c r="D5" s="42">
        <f>+'Plan de acción 2024'!Y26</f>
        <v>0</v>
      </c>
      <c r="E5" s="42">
        <f>+'Plan de acción 2024'!AB26</f>
        <v>0</v>
      </c>
      <c r="F5" s="42">
        <f>+'Plan de acción 2024'!AE26</f>
        <v>0</v>
      </c>
      <c r="G5" s="42">
        <f t="shared" ref="G5:G7" si="0">SUMIF(C5:F5,"&gt;0",C5:F5)</f>
        <v>0.2488533046754732</v>
      </c>
      <c r="I5" s="143" t="str">
        <f>IF('Plan de acción 2024'!AK26="","",'Plan de acción 2024'!AK26)</f>
        <v>El cumplimiento satisfactorio del desglose de los recaudos recibidos en el primer trimestre de 2024 refleja una gestión eficiente y control de los ingresos.</v>
      </c>
      <c r="J5" s="143" t="str">
        <f>IF('Plan de acción 2024'!AM26="","",'Plan de acción 2024'!AM26)</f>
        <v/>
      </c>
      <c r="K5" s="143" t="str">
        <f>IF('Plan de acción 2024'!AO26="","",'Plan de acción 2024'!AO26)</f>
        <v/>
      </c>
      <c r="L5" s="143" t="str">
        <f>IF('Plan de acción 2024'!AQ26="","",'Plan de acción 2024'!AQ26)</f>
        <v/>
      </c>
    </row>
    <row r="6" spans="2:12" ht="33" customHeight="1" thickBot="1" x14ac:dyDescent="0.3">
      <c r="B6" s="41" t="str">
        <f>+'Plan de acción 2024'!G27</f>
        <v>Disminuir el porcentaje de cartera en "estado persuasivo"</v>
      </c>
      <c r="C6" s="42">
        <f>+'Plan de acción 2024'!V27</f>
        <v>6.2499999999999972E-2</v>
      </c>
      <c r="D6" s="42">
        <f>+'Plan de acción 2024'!Y27</f>
        <v>0</v>
      </c>
      <c r="E6" s="42">
        <f>+'Plan de acción 2024'!AB27</f>
        <v>0</v>
      </c>
      <c r="F6" s="42">
        <f>+'Plan de acción 2024'!AE27</f>
        <v>0</v>
      </c>
      <c r="G6" s="42">
        <f t="shared" si="0"/>
        <v>6.2499999999999972E-2</v>
      </c>
      <c r="I6" s="143" t="str">
        <f>IF('Plan de acción 2024'!AK27="","",'Plan de acción 2024'!AK27)</f>
        <v>El incumplimiento de la meta de mantener la cartera en estado persuasivo por debajo del 2% y el aumento al 3% refleja una deficiencia en la gestión de la cartera durante el primer trimestre. Se recomienda asegurarse de que el nuevo equipo de personas para realizar este cobro esté bien capacitado y cuente con los recursos necesarios para realizar su trabajo de manera efectiva, así como mejorar la comunicación y las estrategias de seguimiento con los deudores para facilitar la recuperación de pago.</v>
      </c>
      <c r="J6" s="143" t="str">
        <f>IF('Plan de acción 2024'!AM27="","",'Plan de acción 2024'!AM27)</f>
        <v/>
      </c>
      <c r="K6" s="143" t="str">
        <f>IF('Plan de acción 2024'!AO27="","",'Plan de acción 2024'!AO27)</f>
        <v/>
      </c>
      <c r="L6" s="143" t="str">
        <f>IF('Plan de acción 2024'!AQ27="","",'Plan de acción 2024'!AQ27)</f>
        <v/>
      </c>
    </row>
    <row r="7" spans="2:12" ht="33" customHeight="1" thickBot="1" x14ac:dyDescent="0.3">
      <c r="B7" s="41" t="str">
        <f>+'Plan de acción 2024'!G28</f>
        <v>Disminuir el porcentaje de cartera en estado pre-jurídico</v>
      </c>
      <c r="C7" s="42">
        <f>+'Plan de acción 2024'!V28</f>
        <v>5.0000000000000044E-2</v>
      </c>
      <c r="D7" s="42">
        <f>+'Plan de acción 2024'!Y28</f>
        <v>0</v>
      </c>
      <c r="E7" s="42">
        <f>+'Plan de acción 2024'!AB28</f>
        <v>0</v>
      </c>
      <c r="F7" s="42">
        <f>+'Plan de acción 2024'!AE28</f>
        <v>0</v>
      </c>
      <c r="G7" s="42">
        <f t="shared" si="0"/>
        <v>5.0000000000000044E-2</v>
      </c>
      <c r="I7" s="144" t="str">
        <f>IF('Plan de acción 2024'!AK28="","",'Plan de acción 2024'!AK28)</f>
        <v>El objetivo de mantener la cartera en estado pre-jurídico por debajo del 2% no se alcanzó este trimestre, ya que el indicador subió al 4%. Esto evidencia una deficiencia en la gestión de la cartera durante el primer trimestre. Se recomienda garantizar que el nuevo equipo encargado de realizar los cobros esté bien capacitado y disponga de los recursos necesarios para desempeñar su labor de manera efectiva, efectuando seguimientos permanentesa al equipo. Además, es fundamental mejorar la comunicación y las estrategias de seguimiento con los deudores para facilitar la recuperación de los pagos.</v>
      </c>
      <c r="J7" s="144" t="str">
        <f>IF('Plan de acción 2024'!AM28="","",'Plan de acción 2024'!AM28)</f>
        <v/>
      </c>
      <c r="K7" s="144" t="str">
        <f>IF('Plan de acción 2024'!AO28="","",'Plan de acción 2024'!AO28)</f>
        <v/>
      </c>
      <c r="L7" s="144" t="str">
        <f>IF('Plan de acción 2024'!AQ28="","",'Plan de acción 2024'!AQ28)</f>
        <v/>
      </c>
    </row>
    <row r="8" spans="2:12" s="44" customFormat="1" ht="21.75" customHeight="1" thickBot="1" x14ac:dyDescent="0.3">
      <c r="B8" s="35" t="s">
        <v>169</v>
      </c>
      <c r="C8" s="45">
        <f>+AVERAGE(C4:C7)</f>
        <v>0.11887999283553496</v>
      </c>
      <c r="D8" s="45">
        <f>+AVERAGE(D4:D7)</f>
        <v>0</v>
      </c>
      <c r="E8" s="45">
        <f>+AVERAGE(E4:E7)</f>
        <v>0</v>
      </c>
      <c r="F8" s="45">
        <f>+AVERAGE(F4:F7)</f>
        <v>0</v>
      </c>
      <c r="G8" s="45">
        <f>+AVERAGE(G4:G7)</f>
        <v>0.11887999283553496</v>
      </c>
      <c r="I8" s="40"/>
      <c r="J8" s="40"/>
      <c r="K8" s="40"/>
      <c r="L8" s="40"/>
    </row>
  </sheetData>
  <mergeCells count="2">
    <mergeCell ref="B2:G2"/>
    <mergeCell ref="I2:L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7"/>
  <sheetViews>
    <sheetView zoomScale="90" zoomScaleNormal="90" workbookViewId="0">
      <selection activeCell="I6" sqref="I6"/>
    </sheetView>
  </sheetViews>
  <sheetFormatPr baseColWidth="10" defaultColWidth="10.85546875" defaultRowHeight="14.25" x14ac:dyDescent="0.2"/>
  <cols>
    <col min="1" max="1" width="10.85546875" style="21"/>
    <col min="2" max="2" width="35.42578125" style="21" customWidth="1"/>
    <col min="3" max="6" width="10.85546875" style="21"/>
    <col min="7" max="7" width="14.42578125" style="21" customWidth="1"/>
    <col min="8" max="8" width="6" style="21" customWidth="1"/>
    <col min="9" max="12" width="20.7109375" style="21" customWidth="1"/>
    <col min="13" max="16384" width="10.85546875" style="21"/>
  </cols>
  <sheetData>
    <row r="1" spans="2:12" ht="15" thickBot="1" x14ac:dyDescent="0.25"/>
    <row r="2" spans="2:12" ht="37.5" customHeight="1" thickBot="1" x14ac:dyDescent="0.25">
      <c r="B2" s="232" t="s">
        <v>172</v>
      </c>
      <c r="C2" s="232"/>
      <c r="D2" s="232"/>
      <c r="E2" s="232"/>
      <c r="F2" s="232"/>
      <c r="G2" s="232"/>
      <c r="I2" s="232" t="s">
        <v>535</v>
      </c>
      <c r="J2" s="232"/>
      <c r="K2" s="232"/>
      <c r="L2" s="232"/>
    </row>
    <row r="3" spans="2:12" ht="60.75" thickBot="1" x14ac:dyDescent="0.25">
      <c r="B3" s="46" t="s">
        <v>164</v>
      </c>
      <c r="C3" s="46" t="s">
        <v>165</v>
      </c>
      <c r="D3" s="46" t="s">
        <v>166</v>
      </c>
      <c r="E3" s="46" t="s">
        <v>167</v>
      </c>
      <c r="F3" s="46" t="s">
        <v>168</v>
      </c>
      <c r="G3" s="46" t="s">
        <v>410</v>
      </c>
      <c r="I3" s="133" t="s">
        <v>531</v>
      </c>
      <c r="J3" s="133" t="s">
        <v>532</v>
      </c>
      <c r="K3" s="133" t="s">
        <v>533</v>
      </c>
      <c r="L3" s="133" t="s">
        <v>534</v>
      </c>
    </row>
    <row r="4" spans="2:12" ht="39" thickBot="1" x14ac:dyDescent="0.25">
      <c r="B4" s="43" t="str">
        <f>+'Plan de acción 2024'!G29</f>
        <v>Realizar la  gestión contractual acorde con la programación establecida en el Plan Anual de Adquisiciones</v>
      </c>
      <c r="C4" s="47">
        <f>+'Plan de acción 2024'!V29</f>
        <v>0</v>
      </c>
      <c r="D4" s="47">
        <f>+'Plan de acción 2024'!Y29</f>
        <v>0</v>
      </c>
      <c r="E4" s="47">
        <f>+'Plan de acción 2024'!AB29</f>
        <v>0</v>
      </c>
      <c r="F4" s="47">
        <f>+'Plan de acción 2024'!AE29</f>
        <v>0</v>
      </c>
      <c r="G4" s="47">
        <f>SUMIF(C4:F4,"&gt;0",C4:F4)</f>
        <v>0</v>
      </c>
      <c r="I4" s="143" t="str">
        <f>IF('Plan de acción 2024'!AK29="","",'Plan de acción 2024'!AK29)</f>
        <v>Adquisiciones muestra un 50% de ejecución para el primer trimestre. Se recomienda revisar las actividades pendientes y ajustar el cronograma del Plan Anual de Adquisiciones para reflejar de manera realista las capacidades y los tiempos necesarios para su ejecución. Asi como, mejorar la comunicación entre los procesos y la oficina de planeación para identificar y resolver de manera proactiva cualquier obstáculo que pueda retrasar la ejecución en la contratación. .</v>
      </c>
      <c r="J4" s="143" t="str">
        <f>IF('Plan de acción 2024'!AM29="","",'Plan de acción 2024'!AM29)</f>
        <v/>
      </c>
      <c r="K4" s="143" t="str">
        <f>IF('Plan de acción 2024'!AO29="","",'Plan de acción 2024'!AO29)</f>
        <v/>
      </c>
      <c r="L4" s="143" t="str">
        <f>IF('Plan de acción 2024'!AQ29="","",'Plan de acción 2024'!AQ29)</f>
        <v/>
      </c>
    </row>
    <row r="5" spans="2:12" ht="26.25" thickBot="1" x14ac:dyDescent="0.25">
      <c r="B5" s="43" t="str">
        <f>+'Plan de acción 2024'!G30</f>
        <v>Publicar a los entes de control del SIA observa</v>
      </c>
      <c r="C5" s="47">
        <f>+'Plan de acción 2024'!V30</f>
        <v>0.25</v>
      </c>
      <c r="D5" s="47">
        <f>+'Plan de acción 2024'!Y30</f>
        <v>0</v>
      </c>
      <c r="E5" s="47">
        <f>+'Plan de acción 2024'!AB30</f>
        <v>0</v>
      </c>
      <c r="F5" s="47">
        <f>+'Plan de acción 2024'!AE30</f>
        <v>0</v>
      </c>
      <c r="G5" s="47">
        <f t="shared" ref="G5:G6" si="0">SUMIF(C5:F5,"&gt;0",C5:F5)</f>
        <v>0.25</v>
      </c>
      <c r="I5" s="143" t="str">
        <f>IF('Plan de acción 2024'!AK30="","",'Plan de acción 2024'!AK30)</f>
        <v>El indicador de rendición de cuentas SIA Observa muestra un cumplimiento del 100% para el primer trimestre de 2024. Se rindió cuenta de 20 contratos en las fechas estipuladas para cada mes asegurando que se rindan de manera oportuna y eficiente. Sin embargo, se recomienda  que en las actas de rendición de cuentas se adjunten las certificaciones correspondientes. Asi como generar una base de datos que incluya todas las modalidades de contratación, esta información facilitará el seguimiento y la gestión.</v>
      </c>
      <c r="J5" s="143" t="str">
        <f>IF('Plan de acción 2024'!AM30="","",'Plan de acción 2024'!AM30)</f>
        <v/>
      </c>
      <c r="K5" s="143" t="str">
        <f>IF('Plan de acción 2024'!AO30="","",'Plan de acción 2024'!AO30)</f>
        <v/>
      </c>
      <c r="L5" s="143" t="str">
        <f>IF('Plan de acción 2024'!AQ30="","",'Plan de acción 2024'!AQ30)</f>
        <v/>
      </c>
    </row>
    <row r="6" spans="2:12" ht="26.25" thickBot="1" x14ac:dyDescent="0.25">
      <c r="B6" s="43" t="str">
        <f>+'Plan de acción 2024'!G31</f>
        <v xml:space="preserve">Verificar el comportamiento  de los proveedores </v>
      </c>
      <c r="C6" s="47">
        <f>+'Plan de acción 2024'!V31</f>
        <v>0.16666666666666666</v>
      </c>
      <c r="D6" s="47">
        <f>+'Plan de acción 2024'!Y31</f>
        <v>0</v>
      </c>
      <c r="E6" s="47">
        <f>+'Plan de acción 2024'!AB31</f>
        <v>0</v>
      </c>
      <c r="F6" s="47">
        <f>+'Plan de acción 2024'!AE31</f>
        <v>0</v>
      </c>
      <c r="G6" s="47">
        <f t="shared" si="0"/>
        <v>0.16666666666666666</v>
      </c>
      <c r="I6" s="143" t="str">
        <f>IF('Plan de acción 2024'!AK31="","",'Plan de acción 2024'!AK31)</f>
        <v>El indicador de reevaluación de contratos muestra un cumplimiento del 100% para el primer trimestre de 2024. Las reevaluaciones se llevaron a cabo de manera oportuna y con buenos resultados. Sin embargo, se recomienda al proceso asegurarse de que todas las reevaluaciones estén debidamente documentadas y archivadas para futuras referencias y/o auditorías.</v>
      </c>
      <c r="J6" s="143" t="str">
        <f>IF('Plan de acción 2024'!AM31="","",'Plan de acción 2024'!AM31)</f>
        <v/>
      </c>
      <c r="K6" s="143" t="str">
        <f>IF('Plan de acción 2024'!AO31="","",'Plan de acción 2024'!AO31)</f>
        <v/>
      </c>
      <c r="L6" s="143" t="str">
        <f>IF('Plan de acción 2024'!AQ31="","",'Plan de acción 2024'!AQ31)</f>
        <v/>
      </c>
    </row>
    <row r="7" spans="2:12" ht="15.75" thickBot="1" x14ac:dyDescent="0.25">
      <c r="B7" s="35" t="s">
        <v>169</v>
      </c>
      <c r="C7" s="31">
        <f>+AVERAGE(C4:C6)</f>
        <v>0.13888888888888887</v>
      </c>
      <c r="D7" s="31">
        <f>+AVERAGE(D4:D6)</f>
        <v>0</v>
      </c>
      <c r="E7" s="31">
        <f>+AVERAGE(E4:E6)</f>
        <v>0</v>
      </c>
      <c r="F7" s="31">
        <f>+AVERAGE(F4:F6)</f>
        <v>0</v>
      </c>
      <c r="G7" s="31">
        <f>+AVERAGE(G4:G6)</f>
        <v>0.13888888888888887</v>
      </c>
    </row>
  </sheetData>
  <mergeCells count="2">
    <mergeCell ref="B2:G2"/>
    <mergeCell ref="I2:L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9"/>
  <sheetViews>
    <sheetView zoomScale="90" zoomScaleNormal="90" workbookViewId="0">
      <selection activeCell="I4" sqref="I4:L4"/>
    </sheetView>
  </sheetViews>
  <sheetFormatPr baseColWidth="10" defaultColWidth="10.85546875" defaultRowHeight="14.25" x14ac:dyDescent="0.2"/>
  <cols>
    <col min="1" max="1" width="10.85546875" style="21"/>
    <col min="2" max="2" width="38.42578125" style="21" customWidth="1"/>
    <col min="3" max="6" width="10.85546875" style="21"/>
    <col min="7" max="7" width="17" style="21" customWidth="1"/>
    <col min="8" max="8" width="6" style="21" customWidth="1"/>
    <col min="9" max="12" width="20.7109375" style="21" customWidth="1"/>
    <col min="13" max="16384" width="10.85546875" style="21"/>
  </cols>
  <sheetData>
    <row r="1" spans="2:12" ht="15" thickBot="1" x14ac:dyDescent="0.25"/>
    <row r="2" spans="2:12" ht="15.75" thickBot="1" x14ac:dyDescent="0.3">
      <c r="B2" s="233" t="s">
        <v>173</v>
      </c>
      <c r="C2" s="233"/>
      <c r="D2" s="233"/>
      <c r="E2" s="233"/>
      <c r="F2" s="233"/>
      <c r="G2" s="233"/>
      <c r="I2" s="233" t="s">
        <v>535</v>
      </c>
      <c r="J2" s="233"/>
      <c r="K2" s="233"/>
      <c r="L2" s="233"/>
    </row>
    <row r="3" spans="2:12" ht="45.75" thickBot="1" x14ac:dyDescent="0.25">
      <c r="B3" s="46" t="s">
        <v>164</v>
      </c>
      <c r="C3" s="46" t="s">
        <v>165</v>
      </c>
      <c r="D3" s="46" t="s">
        <v>166</v>
      </c>
      <c r="E3" s="46" t="s">
        <v>167</v>
      </c>
      <c r="F3" s="46" t="s">
        <v>168</v>
      </c>
      <c r="G3" s="46" t="s">
        <v>410</v>
      </c>
      <c r="I3" s="133" t="s">
        <v>531</v>
      </c>
      <c r="J3" s="133" t="s">
        <v>532</v>
      </c>
      <c r="K3" s="133" t="s">
        <v>533</v>
      </c>
      <c r="L3" s="133" t="s">
        <v>534</v>
      </c>
    </row>
    <row r="4" spans="2:12" ht="44.25" customHeight="1" thickBot="1" x14ac:dyDescent="0.25">
      <c r="B4" s="50" t="str">
        <f>+'Plan de acción 2024'!G32</f>
        <v>Realizar mantenimiento preventivo a los equipos de cómputo, impresoras, scanner y equipo de la red de la entidad</v>
      </c>
      <c r="C4" s="48">
        <f>+'Plan de acción 2024'!V32</f>
        <v>0.1</v>
      </c>
      <c r="D4" s="49">
        <f>+'Plan de acción 2024'!Y32</f>
        <v>0</v>
      </c>
      <c r="E4" s="49">
        <f>+'Plan de acción 2024'!AB32</f>
        <v>0</v>
      </c>
      <c r="F4" s="49">
        <f>+'Plan de acción 2024'!AE32</f>
        <v>0</v>
      </c>
      <c r="G4" s="67">
        <f>SUMIF(C4:F4,"&gt;0",C4:F4)</f>
        <v>0.1</v>
      </c>
      <c r="I4" s="143" t="str">
        <f>IF('Plan de acción 2024'!AK32="","",'Plan de acción 2024'!AK32)</f>
        <v xml:space="preserve">
El primer trimestre de 2024 muestra una iniciativa importante en la creación del estudio previo, pero no se evidencia avance en el indicador correspondiente al mantenimiento preventivo de los equipos de cómputo. Es importante definir el cronograma de mantenimiento para proceder con las acciones necesarias y cumplir con el indicador.</v>
      </c>
      <c r="J4" s="143" t="str">
        <f>IF('Plan de acción 2024'!AM32="","",'Plan de acción 2024'!AM32)</f>
        <v/>
      </c>
      <c r="K4" s="143" t="str">
        <f>IF('Plan de acción 2024'!AO32="","",'Plan de acción 2024'!AO32)</f>
        <v/>
      </c>
      <c r="L4" s="143" t="str">
        <f>IF('Plan de acción 2024'!AQ32="","",'Plan de acción 2024'!AQ32)</f>
        <v/>
      </c>
    </row>
    <row r="5" spans="2:12" ht="51.75" thickBot="1" x14ac:dyDescent="0.25">
      <c r="B5" s="50" t="str">
        <f>+'Plan de acción 2024'!G33</f>
        <v>Realizar mantenimiento correctivo cuando sea necesario  a los equipos de cómputo, impresoras, scanner y equipo de la red de la entidad, asi como soporte al usuario.</v>
      </c>
      <c r="C5" s="48">
        <f>+'Plan de acción 2024'!V33</f>
        <v>0.25</v>
      </c>
      <c r="D5" s="49">
        <f>+'Plan de acción 2024'!Y33</f>
        <v>0</v>
      </c>
      <c r="E5" s="49">
        <f>+'Plan de acción 2024'!AB33</f>
        <v>0</v>
      </c>
      <c r="F5" s="49">
        <f>+'Plan de acción 2024'!AE33</f>
        <v>0</v>
      </c>
      <c r="G5" s="67">
        <f t="shared" ref="G5:G8" si="0">SUMIF(C5:F5,"&gt;0",C5:F5)</f>
        <v>0.25</v>
      </c>
      <c r="I5" s="143" t="str">
        <f>IF('Plan de acción 2024'!AK33="","",'Plan de acción 2024'!AK33)</f>
        <v xml:space="preserve">El soporte de mantenimiento correctivo y a usuarios durante el primer trimestre de 2024 ha logrado un cumplimiento satisfactorio del indicador, con 28 requerimientos documentados y en su mayoría atendidos adecuadamente. Este cumplimiento refleja una gestión efectiva en el proceso. Sin embargo, se sugiere asegurarse de que cada acción de solución esté documentada para proporcionar evidencia de que los problemas fueron resueltos eficazmente. </v>
      </c>
      <c r="J5" s="143" t="str">
        <f>IF('Plan de acción 2024'!AM33="","",'Plan de acción 2024'!AM33)</f>
        <v/>
      </c>
      <c r="K5" s="143" t="str">
        <f>IF('Plan de acción 2024'!AO33="","",'Plan de acción 2024'!AO33)</f>
        <v/>
      </c>
      <c r="L5" s="143" t="str">
        <f>IF('Plan de acción 2024'!AQ33="","",'Plan de acción 2024'!AQ33)</f>
        <v/>
      </c>
    </row>
    <row r="6" spans="2:12" ht="26.25" thickBot="1" x14ac:dyDescent="0.25">
      <c r="B6" s="50" t="str">
        <f>+'Plan de acción 2024'!G34</f>
        <v xml:space="preserve">Adquirir los equipos tecnológicos requeridos por la entidad. </v>
      </c>
      <c r="C6" s="48">
        <f>+'Plan de acción 2024'!V34</f>
        <v>0.25</v>
      </c>
      <c r="D6" s="49">
        <f>+'Plan de acción 2024'!Y34</f>
        <v>0</v>
      </c>
      <c r="E6" s="49">
        <f>+'Plan de acción 2024'!AB34</f>
        <v>0</v>
      </c>
      <c r="F6" s="49">
        <f>+'Plan de acción 2024'!AE34</f>
        <v>0</v>
      </c>
      <c r="G6" s="67">
        <f t="shared" si="0"/>
        <v>0.25</v>
      </c>
      <c r="I6" s="143" t="str">
        <f>IF('Plan de acción 2024'!AK34="","",'Plan de acción 2024'!AK34)</f>
        <v xml:space="preserve">
El indicador relacionado con la adquisición de impresoras y escáneres ha sido cumplido satisfactoriamente en el primer trimestre de 2024, según lo evidenciado por las órdenes de compra 125905 y 125186. Se sugiere al proceso estar atento a la renovación de la prestación del servicio, ya que los contratos actuales tienen fecha de vencimiento en septiembre. Esto es importante para evitar inconvenientes y retrasos en el proceso de contratación asi como interrupciones en la prestación del servicio de la Corproación.</v>
      </c>
      <c r="J6" s="143" t="str">
        <f>IF('Plan de acción 2024'!AM34="","",'Plan de acción 2024'!AM34)</f>
        <v/>
      </c>
      <c r="K6" s="143" t="str">
        <f>IF('Plan de acción 2024'!AO34="","",'Plan de acción 2024'!AO34)</f>
        <v/>
      </c>
      <c r="L6" s="143" t="str">
        <f>IF('Plan de acción 2024'!AQ34="","",'Plan de acción 2024'!AQ34)</f>
        <v/>
      </c>
    </row>
    <row r="7" spans="2:12" ht="64.5" thickBot="1" x14ac:dyDescent="0.25">
      <c r="B7" s="50" t="str">
        <f>+'Plan de acción 2024'!G35</f>
        <v xml:space="preserve">Publicación y seguimiento del Plan de Tratamiento de Riesgos de Seguridad y Privacidad de la Información, Plan de Seguridad y Privacidad de la Información y PETIC. </v>
      </c>
      <c r="C7" s="48">
        <f>+'Plan de acción 2024'!V35</f>
        <v>0.25</v>
      </c>
      <c r="D7" s="49">
        <f>+'Plan de acción 2024'!Y35</f>
        <v>0</v>
      </c>
      <c r="E7" s="49">
        <f>+'Plan de acción 2024'!AB35</f>
        <v>0</v>
      </c>
      <c r="F7" s="49">
        <f>+'Plan de acción 2024'!AE35</f>
        <v>0</v>
      </c>
      <c r="G7" s="67">
        <f t="shared" si="0"/>
        <v>0.25</v>
      </c>
      <c r="I7" s="143" t="str">
        <f>IF('Plan de acción 2024'!AK35="","",'Plan de acción 2024'!AK35)</f>
        <v>Durante el primer trimestre de 2024, se realizó un seguimiento detallado de los planes institucionales y sus respectivas actividades del área de sistemas. De las 5 actividades programadas, se culminaron 4 a satisfacción. Estas actividades incluían el alquiler de impresoras, la identificación de activos de información, el seguimiento al control del plan de riesgos y la realización del diagnóstico MSPI. La actividad que no se concluyó fue la actualización del contrato de licencia de Gmail, pero aún se cuenta con tiempo suficiente para llevar a cabo este proceso. Se recomienda iniciar el proceso de actualización del contrato de licencia de Gmail, así como designar el responsable específico para liderar y monitorear el progreso de la actividad.</v>
      </c>
      <c r="J7" s="143" t="str">
        <f>IF('Plan de acción 2024'!AM35="","",'Plan de acción 2024'!AM35)</f>
        <v/>
      </c>
      <c r="K7" s="143" t="str">
        <f>IF('Plan de acción 2024'!AO35="","",'Plan de acción 2024'!AO35)</f>
        <v/>
      </c>
      <c r="L7" s="143" t="str">
        <f>IF('Plan de acción 2024'!AQ35="","",'Plan de acción 2024'!AQ35)</f>
        <v/>
      </c>
    </row>
    <row r="8" spans="2:12" ht="39" thickBot="1" x14ac:dyDescent="0.25">
      <c r="B8" s="50" t="str">
        <f>+'Plan de acción 2024'!G36</f>
        <v>Actualización, publicación y seguimiento al Plan Institucional de Archivos de la Entidad  (PINAR).</v>
      </c>
      <c r="C8" s="48">
        <f>+'Plan de acción 2024'!V36</f>
        <v>0.25</v>
      </c>
      <c r="D8" s="49">
        <f>+'Plan de acción 2024'!Y36</f>
        <v>0</v>
      </c>
      <c r="E8" s="49">
        <f>+'Plan de acción 2024'!AB36</f>
        <v>0</v>
      </c>
      <c r="F8" s="49">
        <f>+'Plan de acción 2024'!AE36</f>
        <v>0</v>
      </c>
      <c r="G8" s="67">
        <f t="shared" si="0"/>
        <v>0.25</v>
      </c>
      <c r="I8" s="144" t="str">
        <f>IF('Plan de acción 2024'!AK36="","",'Plan de acción 2024'!AK36)</f>
        <v>El primer trimestre de 2024 muestra un avance significativo del indicador en cuanto a la actualización y ejecución del Plan Institucional del PINAR. Las actividades realizadas contribuyen a una mejor gestión documental y optimización de recursos. La adquisición adicional de espacio de almacenamiento en el servidor refuerza la seguridad y disponibilidad de la información. Se recomienda fomentar la concientización sobre la importancia de una gestión documental eficiente y segura entre todos los funcionarios</v>
      </c>
      <c r="J8" s="144" t="str">
        <f>IF('Plan de acción 2024'!AM36="","",'Plan de acción 2024'!AM36)</f>
        <v/>
      </c>
      <c r="K8" s="144" t="str">
        <f>IF('Plan de acción 2024'!AO36="","",'Plan de acción 2024'!AO36)</f>
        <v/>
      </c>
      <c r="L8" s="144" t="str">
        <f>IF('Plan de acción 2024'!AQ36="","",'Plan de acción 2024'!AQ36)</f>
        <v/>
      </c>
    </row>
    <row r="9" spans="2:12" ht="15.75" thickBot="1" x14ac:dyDescent="0.25">
      <c r="B9" s="35" t="s">
        <v>169</v>
      </c>
      <c r="C9" s="31">
        <f>+AVERAGE(C4:C8)</f>
        <v>0.22000000000000003</v>
      </c>
      <c r="D9" s="31">
        <f>+AVERAGE(D4:D8)</f>
        <v>0</v>
      </c>
      <c r="E9" s="31">
        <f>+AVERAGE(E4:E8)</f>
        <v>0</v>
      </c>
      <c r="F9" s="31">
        <f>+AVERAGE(F4:F8)</f>
        <v>0</v>
      </c>
      <c r="G9" s="31">
        <f>+AVERAGE(G4:G8)</f>
        <v>0.22000000000000003</v>
      </c>
    </row>
  </sheetData>
  <mergeCells count="2">
    <mergeCell ref="B2:G2"/>
    <mergeCell ref="I2:L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Plan de acción 2024</vt:lpstr>
      <vt:lpstr>Cumplimiento 2024</vt:lpstr>
      <vt:lpstr>Direccionamiento Estrategico</vt:lpstr>
      <vt:lpstr>Atención al Cliente</vt:lpstr>
      <vt:lpstr>Bienestar</vt:lpstr>
      <vt:lpstr>Crédito</vt:lpstr>
      <vt:lpstr>Cartera</vt:lpstr>
      <vt:lpstr>Gestión Contractual</vt:lpstr>
      <vt:lpstr>Gestión de la Información</vt:lpstr>
      <vt:lpstr>Gestión de Recursos Físicos</vt:lpstr>
      <vt:lpstr>Gestión de Talento Humano</vt:lpstr>
      <vt:lpstr>Gestión Financiera</vt:lpstr>
      <vt:lpstr>Gestión Jurídica</vt:lpstr>
      <vt:lpstr>Gestion del Mejoramiento</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Vargas Rodriguez</dc:creator>
  <cp:lastModifiedBy>Alejandra Vargas Rodriguez</cp:lastModifiedBy>
  <cp:lastPrinted>2024-04-15T15:12:15Z</cp:lastPrinted>
  <dcterms:created xsi:type="dcterms:W3CDTF">2021-12-01T18:51:22Z</dcterms:created>
  <dcterms:modified xsi:type="dcterms:W3CDTF">2025-02-10T15:31:31Z</dcterms:modified>
</cp:coreProperties>
</file>