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ainserver2\SGC\01_PROCESOS ESTRATEGICOS\DIRECCIONAMIENTO ESTRATÉGICO\05_PLANES\PLAN DE ACCION\2024\SEGUIMIENTOS\"/>
    </mc:Choice>
  </mc:AlternateContent>
  <xr:revisionPtr revIDLastSave="0" documentId="13_ncr:1_{DACECC1A-0B2A-426A-8AB6-14C3D6DC8089}" xr6:coauthVersionLast="47" xr6:coauthVersionMax="47" xr10:uidLastSave="{00000000-0000-0000-0000-000000000000}"/>
  <bookViews>
    <workbookView xWindow="-120" yWindow="-120" windowWidth="29040" windowHeight="15840" tabRatio="500" xr2:uid="{00000000-000D-0000-FFFF-FFFF00000000}"/>
  </bookViews>
  <sheets>
    <sheet name="Plan de acción 2024" sheetId="1" r:id="rId1"/>
    <sheet name="Cumplimiento 2024" sheetId="2" r:id="rId2"/>
    <sheet name="Direccionamiento Estrategico" sheetId="3" r:id="rId3"/>
    <sheet name="Atención al Cliente" sheetId="4" r:id="rId4"/>
    <sheet name="Bienestar" sheetId="5" r:id="rId5"/>
    <sheet name="Crédito" sheetId="6" r:id="rId6"/>
    <sheet name="Cartera" sheetId="7" r:id="rId7"/>
    <sheet name="Gestión Contractual" sheetId="8" r:id="rId8"/>
    <sheet name="Gestión de la Información" sheetId="9" r:id="rId9"/>
    <sheet name="Gestión de Recursos Físicos" sheetId="10" r:id="rId10"/>
    <sheet name="Gestión de Talento Humano" sheetId="11" r:id="rId11"/>
    <sheet name="Gestión Financiera" sheetId="12" r:id="rId12"/>
    <sheet name="Gestión Jurídica" sheetId="13" r:id="rId13"/>
    <sheet name="Gestion del Mejoramiento" sheetId="14" r:id="rId14"/>
    <sheet name="GRAFICO" sheetId="15" r:id="rId15"/>
  </sheets>
  <calcPr calcId="191029"/>
</workbook>
</file>

<file path=xl/calcChain.xml><?xml version="1.0" encoding="utf-8"?>
<calcChain xmlns="http://schemas.openxmlformats.org/spreadsheetml/2006/main">
  <c r="W15" i="1" l="1"/>
  <c r="E7" i="13" l="1"/>
  <c r="F7" i="13"/>
  <c r="Y61" i="1" l="1"/>
  <c r="AE59" i="1" l="1"/>
  <c r="AB59" i="1"/>
  <c r="Y59" i="1"/>
  <c r="D6" i="13" s="1"/>
  <c r="V59" i="1"/>
  <c r="C6" i="13" s="1"/>
  <c r="AE46" i="1"/>
  <c r="F7" i="11" s="1"/>
  <c r="AB46" i="1"/>
  <c r="Y46" i="1"/>
  <c r="D7" i="11" s="1"/>
  <c r="V46" i="1"/>
  <c r="C7" i="11" s="1"/>
  <c r="V45" i="1"/>
  <c r="B16" i="15"/>
  <c r="B15" i="15"/>
  <c r="B14" i="15"/>
  <c r="B13" i="15"/>
  <c r="B12" i="15"/>
  <c r="B11" i="15"/>
  <c r="B10" i="15"/>
  <c r="B9" i="15"/>
  <c r="B8" i="15"/>
  <c r="B7" i="15"/>
  <c r="B6" i="15"/>
  <c r="L9" i="14"/>
  <c r="K9" i="14"/>
  <c r="J9" i="14"/>
  <c r="I9" i="14"/>
  <c r="B9" i="14"/>
  <c r="L8" i="14"/>
  <c r="K8" i="14"/>
  <c r="J8" i="14"/>
  <c r="I8" i="14"/>
  <c r="B8" i="14"/>
  <c r="L7" i="14"/>
  <c r="K7" i="14"/>
  <c r="J7" i="14"/>
  <c r="I7" i="14"/>
  <c r="B7" i="14"/>
  <c r="L6" i="14"/>
  <c r="K6" i="14"/>
  <c r="J6" i="14"/>
  <c r="I6" i="14"/>
  <c r="B6" i="14"/>
  <c r="L5" i="14"/>
  <c r="K5" i="14"/>
  <c r="J5" i="14"/>
  <c r="I5" i="14"/>
  <c r="F5" i="14"/>
  <c r="D5" i="14"/>
  <c r="B5" i="14"/>
  <c r="L4" i="14"/>
  <c r="K4" i="14"/>
  <c r="J4" i="14"/>
  <c r="I4" i="14"/>
  <c r="B4" i="14"/>
  <c r="L6" i="13"/>
  <c r="K6" i="13"/>
  <c r="J6" i="13"/>
  <c r="I6" i="13"/>
  <c r="F6" i="13"/>
  <c r="E6" i="13"/>
  <c r="B6" i="13"/>
  <c r="L5" i="13"/>
  <c r="K5" i="13"/>
  <c r="J5" i="13"/>
  <c r="I5" i="13"/>
  <c r="F5" i="13"/>
  <c r="C5" i="13"/>
  <c r="B5" i="13"/>
  <c r="L4" i="13"/>
  <c r="K4" i="13"/>
  <c r="J4" i="13"/>
  <c r="I4" i="13"/>
  <c r="B4" i="13"/>
  <c r="L8" i="12"/>
  <c r="K8" i="12"/>
  <c r="J8" i="12"/>
  <c r="I8" i="12"/>
  <c r="B8" i="12"/>
  <c r="L7" i="12"/>
  <c r="K7" i="12"/>
  <c r="J7" i="12"/>
  <c r="I7" i="12"/>
  <c r="B7" i="12"/>
  <c r="L6" i="12"/>
  <c r="K6" i="12"/>
  <c r="J6" i="12"/>
  <c r="I6" i="12"/>
  <c r="B6" i="12"/>
  <c r="L5" i="12"/>
  <c r="K5" i="12"/>
  <c r="J5" i="12"/>
  <c r="I5" i="12"/>
  <c r="B5" i="12"/>
  <c r="L4" i="12"/>
  <c r="K4" i="12"/>
  <c r="J4" i="12"/>
  <c r="I4" i="12"/>
  <c r="B4" i="12"/>
  <c r="L11" i="11"/>
  <c r="K11" i="11"/>
  <c r="J11" i="11"/>
  <c r="I11" i="11"/>
  <c r="F11" i="11"/>
  <c r="D11" i="11"/>
  <c r="B11" i="11"/>
  <c r="L10" i="11"/>
  <c r="K10" i="11"/>
  <c r="J10" i="11"/>
  <c r="I10" i="11"/>
  <c r="E10" i="11"/>
  <c r="D10" i="11"/>
  <c r="C10" i="11"/>
  <c r="B10" i="11"/>
  <c r="L9" i="11"/>
  <c r="K9" i="11"/>
  <c r="J9" i="11"/>
  <c r="I9" i="11"/>
  <c r="F9" i="11"/>
  <c r="C9" i="11"/>
  <c r="B9" i="11"/>
  <c r="L8" i="11"/>
  <c r="K8" i="11"/>
  <c r="J8" i="11"/>
  <c r="I8" i="11"/>
  <c r="B8" i="11"/>
  <c r="L7" i="11"/>
  <c r="K7" i="11"/>
  <c r="J7" i="11"/>
  <c r="I7" i="11"/>
  <c r="B7" i="11"/>
  <c r="L6" i="11"/>
  <c r="K6" i="11"/>
  <c r="J6" i="11"/>
  <c r="I6" i="11"/>
  <c r="B6" i="11"/>
  <c r="L5" i="11"/>
  <c r="K5" i="11"/>
  <c r="J5" i="11"/>
  <c r="I5" i="11"/>
  <c r="B5" i="11"/>
  <c r="L4" i="11"/>
  <c r="K4" i="11"/>
  <c r="J4" i="11"/>
  <c r="I4" i="11"/>
  <c r="C4" i="11"/>
  <c r="B4" i="11"/>
  <c r="L9" i="10"/>
  <c r="K9" i="10"/>
  <c r="J9" i="10"/>
  <c r="I9" i="10"/>
  <c r="B9" i="10"/>
  <c r="L8" i="10"/>
  <c r="K8" i="10"/>
  <c r="J8" i="10"/>
  <c r="I8" i="10"/>
  <c r="B8" i="10"/>
  <c r="L7" i="10"/>
  <c r="K7" i="10"/>
  <c r="J7" i="10"/>
  <c r="I7" i="10"/>
  <c r="E7" i="10"/>
  <c r="C7" i="10"/>
  <c r="B7" i="10"/>
  <c r="L6" i="10"/>
  <c r="K6" i="10"/>
  <c r="J6" i="10"/>
  <c r="I6" i="10"/>
  <c r="B6" i="10"/>
  <c r="L5" i="10"/>
  <c r="K5" i="10"/>
  <c r="J5" i="10"/>
  <c r="I5" i="10"/>
  <c r="E5" i="10"/>
  <c r="C5" i="10"/>
  <c r="B5" i="10"/>
  <c r="L4" i="10"/>
  <c r="K4" i="10"/>
  <c r="J4" i="10"/>
  <c r="I4" i="10"/>
  <c r="C4" i="10"/>
  <c r="B4" i="10"/>
  <c r="L8" i="9"/>
  <c r="K8" i="9"/>
  <c r="J8" i="9"/>
  <c r="I8" i="9"/>
  <c r="B8" i="9"/>
  <c r="L7" i="9"/>
  <c r="K7" i="9"/>
  <c r="J7" i="9"/>
  <c r="I7" i="9"/>
  <c r="B7" i="9"/>
  <c r="L6" i="9"/>
  <c r="K6" i="9"/>
  <c r="J6" i="9"/>
  <c r="I6" i="9"/>
  <c r="B6" i="9"/>
  <c r="L5" i="9"/>
  <c r="K5" i="9"/>
  <c r="J5" i="9"/>
  <c r="I5" i="9"/>
  <c r="B5" i="9"/>
  <c r="L4" i="9"/>
  <c r="K4" i="9"/>
  <c r="J4" i="9"/>
  <c r="I4" i="9"/>
  <c r="B4" i="9"/>
  <c r="L6" i="8"/>
  <c r="K6" i="8"/>
  <c r="J6" i="8"/>
  <c r="I6" i="8"/>
  <c r="B6" i="8"/>
  <c r="L5" i="8"/>
  <c r="K5" i="8"/>
  <c r="J5" i="8"/>
  <c r="I5" i="8"/>
  <c r="B5" i="8"/>
  <c r="L4" i="8"/>
  <c r="K4" i="8"/>
  <c r="J4" i="8"/>
  <c r="I4" i="8"/>
  <c r="B4" i="8"/>
  <c r="L7" i="7"/>
  <c r="K7" i="7"/>
  <c r="J7" i="7"/>
  <c r="I7" i="7"/>
  <c r="B7" i="7"/>
  <c r="L6" i="7"/>
  <c r="K6" i="7"/>
  <c r="J6" i="7"/>
  <c r="I6" i="7"/>
  <c r="B6" i="7"/>
  <c r="L5" i="7"/>
  <c r="K5" i="7"/>
  <c r="J5" i="7"/>
  <c r="I5" i="7"/>
  <c r="B5" i="7"/>
  <c r="L4" i="7"/>
  <c r="K4" i="7"/>
  <c r="J4" i="7"/>
  <c r="I4" i="7"/>
  <c r="B4" i="7"/>
  <c r="L6" i="6"/>
  <c r="K6" i="6"/>
  <c r="J6" i="6"/>
  <c r="I6" i="6"/>
  <c r="B6" i="6"/>
  <c r="L5" i="6"/>
  <c r="K5" i="6"/>
  <c r="J5" i="6"/>
  <c r="I5" i="6"/>
  <c r="B5" i="6"/>
  <c r="L4" i="6"/>
  <c r="K4" i="6"/>
  <c r="J4" i="6"/>
  <c r="I4" i="6"/>
  <c r="B4" i="6"/>
  <c r="L6" i="5"/>
  <c r="K6" i="5"/>
  <c r="J6" i="5"/>
  <c r="I6" i="5"/>
  <c r="E6" i="5"/>
  <c r="C6" i="5"/>
  <c r="B6" i="5"/>
  <c r="L5" i="5"/>
  <c r="K5" i="5"/>
  <c r="J5" i="5"/>
  <c r="I5" i="5"/>
  <c r="B5" i="5"/>
  <c r="L4" i="5"/>
  <c r="K4" i="5"/>
  <c r="J4" i="5"/>
  <c r="I4" i="5"/>
  <c r="B4" i="5"/>
  <c r="L7" i="4"/>
  <c r="K7" i="4"/>
  <c r="J7" i="4"/>
  <c r="I7" i="4"/>
  <c r="B7" i="4"/>
  <c r="L6" i="4"/>
  <c r="K6" i="4"/>
  <c r="J6" i="4"/>
  <c r="I6" i="4"/>
  <c r="B6" i="4"/>
  <c r="L5" i="4"/>
  <c r="K5" i="4"/>
  <c r="J5" i="4"/>
  <c r="I5" i="4"/>
  <c r="B5" i="4"/>
  <c r="L4" i="4"/>
  <c r="K4" i="4"/>
  <c r="J4" i="4"/>
  <c r="I4" i="4"/>
  <c r="B4" i="4"/>
  <c r="L7" i="3"/>
  <c r="K7" i="3"/>
  <c r="J7" i="3"/>
  <c r="I7" i="3"/>
  <c r="B7" i="3"/>
  <c r="L6" i="3"/>
  <c r="K6" i="3"/>
  <c r="J6" i="3"/>
  <c r="I6" i="3"/>
  <c r="B6" i="3"/>
  <c r="L5" i="3"/>
  <c r="K5" i="3"/>
  <c r="J5" i="3"/>
  <c r="I5" i="3"/>
  <c r="B5" i="3"/>
  <c r="L4" i="3"/>
  <c r="K4" i="3"/>
  <c r="J4" i="3"/>
  <c r="I4" i="3"/>
  <c r="F4" i="3"/>
  <c r="E4" i="3"/>
  <c r="D4" i="3"/>
  <c r="C4" i="3"/>
  <c r="G4" i="3" s="1"/>
  <c r="B4" i="3"/>
  <c r="E7" i="2"/>
  <c r="AE65" i="1"/>
  <c r="F9" i="14" s="1"/>
  <c r="AB65" i="1"/>
  <c r="E9" i="14" s="1"/>
  <c r="Y65" i="1"/>
  <c r="D9" i="14" s="1"/>
  <c r="V65" i="1"/>
  <c r="C9" i="14" s="1"/>
  <c r="AE64" i="1"/>
  <c r="F8" i="14" s="1"/>
  <c r="AB64" i="1"/>
  <c r="E8" i="14" s="1"/>
  <c r="Y64" i="1"/>
  <c r="D8" i="14" s="1"/>
  <c r="V64" i="1"/>
  <c r="C8" i="14" s="1"/>
  <c r="AE63" i="1"/>
  <c r="F7" i="14" s="1"/>
  <c r="AB63" i="1"/>
  <c r="E7" i="14" s="1"/>
  <c r="Y63" i="1"/>
  <c r="D7" i="14" s="1"/>
  <c r="V63" i="1"/>
  <c r="C7" i="14" s="1"/>
  <c r="AE62" i="1"/>
  <c r="F6" i="14" s="1"/>
  <c r="AB62" i="1"/>
  <c r="E6" i="14" s="1"/>
  <c r="Y62" i="1"/>
  <c r="D6" i="14" s="1"/>
  <c r="V62" i="1"/>
  <c r="C6" i="14" s="1"/>
  <c r="G6" i="14" s="1"/>
  <c r="AB61" i="1"/>
  <c r="E5" i="14" s="1"/>
  <c r="V61" i="1"/>
  <c r="AE60" i="1"/>
  <c r="F4" i="14" s="1"/>
  <c r="AB60" i="1"/>
  <c r="E4" i="14" s="1"/>
  <c r="Y60" i="1"/>
  <c r="D4" i="14" s="1"/>
  <c r="D10" i="14" s="1"/>
  <c r="M5" i="2" s="1"/>
  <c r="V60" i="1"/>
  <c r="C4" i="14" s="1"/>
  <c r="AB58" i="1"/>
  <c r="E5" i="13" s="1"/>
  <c r="Y58" i="1"/>
  <c r="D5" i="13" s="1"/>
  <c r="AE57" i="1"/>
  <c r="F4" i="13" s="1"/>
  <c r="L7" i="2" s="1"/>
  <c r="AB57" i="1"/>
  <c r="E4" i="13" s="1"/>
  <c r="L6" i="2" s="1"/>
  <c r="Y57" i="1"/>
  <c r="D4" i="13" s="1"/>
  <c r="V57" i="1"/>
  <c r="C4" i="13" s="1"/>
  <c r="AE56" i="1"/>
  <c r="F8" i="12" s="1"/>
  <c r="AB56" i="1"/>
  <c r="E8" i="12" s="1"/>
  <c r="Y56" i="1"/>
  <c r="D8" i="12" s="1"/>
  <c r="V56" i="1"/>
  <c r="C8" i="12" s="1"/>
  <c r="AE55" i="1"/>
  <c r="F7" i="12" s="1"/>
  <c r="AB55" i="1"/>
  <c r="E7" i="12" s="1"/>
  <c r="Y55" i="1"/>
  <c r="D7" i="12" s="1"/>
  <c r="V55" i="1"/>
  <c r="C7" i="12" s="1"/>
  <c r="AE54" i="1"/>
  <c r="AB54" i="1"/>
  <c r="Y54" i="1"/>
  <c r="V54" i="1"/>
  <c r="AE53" i="1"/>
  <c r="F6" i="12" s="1"/>
  <c r="AB53" i="1"/>
  <c r="E6" i="12" s="1"/>
  <c r="Y53" i="1"/>
  <c r="D6" i="12" s="1"/>
  <c r="V53" i="1"/>
  <c r="C6" i="12" s="1"/>
  <c r="AE52" i="1"/>
  <c r="F5" i="12" s="1"/>
  <c r="AB52" i="1"/>
  <c r="E5" i="12" s="1"/>
  <c r="Y52" i="1"/>
  <c r="D5" i="12" s="1"/>
  <c r="V52" i="1"/>
  <c r="C5" i="12" s="1"/>
  <c r="AE51" i="1"/>
  <c r="F4" i="12" s="1"/>
  <c r="AB51" i="1"/>
  <c r="E4" i="12" s="1"/>
  <c r="Y51" i="1"/>
  <c r="D4" i="12" s="1"/>
  <c r="V51" i="1"/>
  <c r="C4" i="12" s="1"/>
  <c r="AB50" i="1"/>
  <c r="E11" i="11" s="1"/>
  <c r="V50" i="1"/>
  <c r="C11" i="11" s="1"/>
  <c r="G11" i="11" s="1"/>
  <c r="AF49" i="1"/>
  <c r="AE49" i="1"/>
  <c r="F10" i="11" s="1"/>
  <c r="AB48" i="1"/>
  <c r="E9" i="11" s="1"/>
  <c r="Y48" i="1"/>
  <c r="D9" i="11" s="1"/>
  <c r="AE47" i="1"/>
  <c r="F8" i="11" s="1"/>
  <c r="AB47" i="1"/>
  <c r="E8" i="11" s="1"/>
  <c r="Y47" i="1"/>
  <c r="D8" i="11" s="1"/>
  <c r="V47" i="1"/>
  <c r="C8" i="11" s="1"/>
  <c r="E7" i="11"/>
  <c r="AE45" i="1"/>
  <c r="F6" i="11" s="1"/>
  <c r="AB45" i="1"/>
  <c r="E6" i="11" s="1"/>
  <c r="Y45" i="1"/>
  <c r="D6" i="11" s="1"/>
  <c r="C6" i="11"/>
  <c r="AE44" i="1"/>
  <c r="F5" i="11" s="1"/>
  <c r="AB44" i="1"/>
  <c r="E5" i="11" s="1"/>
  <c r="Y44" i="1"/>
  <c r="D5" i="11" s="1"/>
  <c r="V44" i="1"/>
  <c r="C5" i="11" s="1"/>
  <c r="AE43" i="1"/>
  <c r="F4" i="11" s="1"/>
  <c r="AB43" i="1"/>
  <c r="E4" i="11" s="1"/>
  <c r="Y43" i="1"/>
  <c r="D4" i="11" s="1"/>
  <c r="AE42" i="1"/>
  <c r="F9" i="10" s="1"/>
  <c r="AB42" i="1"/>
  <c r="E9" i="10" s="1"/>
  <c r="Y42" i="1"/>
  <c r="D9" i="10" s="1"/>
  <c r="V42" i="1"/>
  <c r="C9" i="10" s="1"/>
  <c r="AE41" i="1"/>
  <c r="F8" i="10" s="1"/>
  <c r="AB41" i="1"/>
  <c r="E8" i="10" s="1"/>
  <c r="Y41" i="1"/>
  <c r="D8" i="10" s="1"/>
  <c r="V41" i="1"/>
  <c r="C8" i="10" s="1"/>
  <c r="AE40" i="1"/>
  <c r="F7" i="10" s="1"/>
  <c r="Y40" i="1"/>
  <c r="D7" i="10" s="1"/>
  <c r="AE39" i="1"/>
  <c r="F6" i="10" s="1"/>
  <c r="AB39" i="1"/>
  <c r="E6" i="10" s="1"/>
  <c r="Y39" i="1"/>
  <c r="D6" i="10" s="1"/>
  <c r="V39" i="1"/>
  <c r="C6" i="10" s="1"/>
  <c r="AF38" i="1"/>
  <c r="AE38" i="1"/>
  <c r="F5" i="10" s="1"/>
  <c r="Y38" i="1"/>
  <c r="D5" i="10" s="1"/>
  <c r="AF37" i="1"/>
  <c r="AE37" i="1"/>
  <c r="F4" i="10" s="1"/>
  <c r="AB37" i="1"/>
  <c r="E4" i="10" s="1"/>
  <c r="Y37" i="1"/>
  <c r="D4" i="10" s="1"/>
  <c r="AE36" i="1"/>
  <c r="F8" i="9" s="1"/>
  <c r="AB36" i="1"/>
  <c r="E8" i="9" s="1"/>
  <c r="Y36" i="1"/>
  <c r="D8" i="9" s="1"/>
  <c r="V36" i="1"/>
  <c r="C8" i="9" s="1"/>
  <c r="G8" i="9" s="1"/>
  <c r="AE35" i="1"/>
  <c r="F7" i="9" s="1"/>
  <c r="AB35" i="1"/>
  <c r="E7" i="9" s="1"/>
  <c r="Y35" i="1"/>
  <c r="D7" i="9" s="1"/>
  <c r="V35" i="1"/>
  <c r="C7" i="9" s="1"/>
  <c r="AE34" i="1"/>
  <c r="F6" i="9" s="1"/>
  <c r="AB34" i="1"/>
  <c r="E6" i="9" s="1"/>
  <c r="Y34" i="1"/>
  <c r="D6" i="9" s="1"/>
  <c r="V34" i="1"/>
  <c r="C6" i="9" s="1"/>
  <c r="AE33" i="1"/>
  <c r="F5" i="9" s="1"/>
  <c r="AB33" i="1"/>
  <c r="E5" i="9" s="1"/>
  <c r="Y33" i="1"/>
  <c r="D5" i="9" s="1"/>
  <c r="V33" i="1"/>
  <c r="C5" i="9" s="1"/>
  <c r="AE32" i="1"/>
  <c r="F4" i="9" s="1"/>
  <c r="AB32" i="1"/>
  <c r="E4" i="9" s="1"/>
  <c r="Y32" i="1"/>
  <c r="D4" i="9" s="1"/>
  <c r="V32" i="1"/>
  <c r="C4" i="9" s="1"/>
  <c r="AE31" i="1"/>
  <c r="F6" i="8" s="1"/>
  <c r="AB31" i="1"/>
  <c r="E6" i="8" s="1"/>
  <c r="Y31" i="1"/>
  <c r="D6" i="8" s="1"/>
  <c r="V31" i="1"/>
  <c r="C6" i="8" s="1"/>
  <c r="AE30" i="1"/>
  <c r="F5" i="8" s="1"/>
  <c r="AB30" i="1"/>
  <c r="E5" i="8" s="1"/>
  <c r="Y30" i="1"/>
  <c r="D5" i="8" s="1"/>
  <c r="V30" i="1"/>
  <c r="C5" i="8" s="1"/>
  <c r="AE29" i="1"/>
  <c r="F4" i="8" s="1"/>
  <c r="AB29" i="1"/>
  <c r="E4" i="8" s="1"/>
  <c r="Y29" i="1"/>
  <c r="D4" i="8" s="1"/>
  <c r="V29" i="1"/>
  <c r="C4" i="8" s="1"/>
  <c r="AE28" i="1"/>
  <c r="F7" i="7" s="1"/>
  <c r="AB28" i="1"/>
  <c r="E7" i="7" s="1"/>
  <c r="Y28" i="1"/>
  <c r="D7" i="7" s="1"/>
  <c r="V28" i="1"/>
  <c r="C7" i="7" s="1"/>
  <c r="G7" i="7" s="1"/>
  <c r="AE27" i="1"/>
  <c r="F6" i="7" s="1"/>
  <c r="AB27" i="1"/>
  <c r="E6" i="7" s="1"/>
  <c r="Y27" i="1"/>
  <c r="D6" i="7" s="1"/>
  <c r="V27" i="1"/>
  <c r="C6" i="7" s="1"/>
  <c r="AE26" i="1"/>
  <c r="F5" i="7" s="1"/>
  <c r="AB26" i="1"/>
  <c r="E5" i="7" s="1"/>
  <c r="Y26" i="1"/>
  <c r="D5" i="7" s="1"/>
  <c r="V26" i="1"/>
  <c r="C5" i="7" s="1"/>
  <c r="AE25" i="1"/>
  <c r="F4" i="7" s="1"/>
  <c r="F8" i="7" s="1"/>
  <c r="F7" i="2" s="1"/>
  <c r="AB25" i="1"/>
  <c r="E4" i="7" s="1"/>
  <c r="E8" i="7" s="1"/>
  <c r="F6" i="2" s="1"/>
  <c r="Y25" i="1"/>
  <c r="D4" i="7" s="1"/>
  <c r="D8" i="7" s="1"/>
  <c r="F5" i="2" s="1"/>
  <c r="V25" i="1"/>
  <c r="C4" i="7" s="1"/>
  <c r="AE24" i="1"/>
  <c r="F6" i="6" s="1"/>
  <c r="AB24" i="1"/>
  <c r="E6" i="6" s="1"/>
  <c r="Y24" i="1"/>
  <c r="D6" i="6" s="1"/>
  <c r="V24" i="1"/>
  <c r="C6" i="6" s="1"/>
  <c r="AE23" i="1"/>
  <c r="F5" i="6" s="1"/>
  <c r="AB23" i="1"/>
  <c r="E5" i="6" s="1"/>
  <c r="Y23" i="1"/>
  <c r="D5" i="6" s="1"/>
  <c r="V23" i="1"/>
  <c r="C5" i="6" s="1"/>
  <c r="AE22" i="1"/>
  <c r="F4" i="6" s="1"/>
  <c r="AB22" i="1"/>
  <c r="E4" i="6" s="1"/>
  <c r="Y22" i="1"/>
  <c r="D4" i="6" s="1"/>
  <c r="D7" i="6" s="1"/>
  <c r="V22" i="1"/>
  <c r="C4" i="6" s="1"/>
  <c r="AE21" i="1"/>
  <c r="F6" i="5" s="1"/>
  <c r="Y21" i="1"/>
  <c r="D6" i="5" s="1"/>
  <c r="AE20" i="1"/>
  <c r="F5" i="5" s="1"/>
  <c r="AB20" i="1"/>
  <c r="E5" i="5" s="1"/>
  <c r="Y20" i="1"/>
  <c r="D5" i="5" s="1"/>
  <c r="V20" i="1"/>
  <c r="C5" i="5" s="1"/>
  <c r="AE19" i="1"/>
  <c r="F4" i="5" s="1"/>
  <c r="F7" i="5" s="1"/>
  <c r="AB19" i="1"/>
  <c r="E4" i="5" s="1"/>
  <c r="Y19" i="1"/>
  <c r="D4" i="5" s="1"/>
  <c r="U19" i="1"/>
  <c r="V19" i="1" s="1"/>
  <c r="AE18" i="1"/>
  <c r="F7" i="4" s="1"/>
  <c r="AB18" i="1"/>
  <c r="E7" i="4" s="1"/>
  <c r="Y18" i="1"/>
  <c r="D7" i="4" s="1"/>
  <c r="V18" i="1"/>
  <c r="C7" i="4" s="1"/>
  <c r="AE17" i="1"/>
  <c r="F6" i="4" s="1"/>
  <c r="AB17" i="1"/>
  <c r="E6" i="4" s="1"/>
  <c r="Y17" i="1"/>
  <c r="D6" i="4" s="1"/>
  <c r="V17" i="1"/>
  <c r="C6" i="4" s="1"/>
  <c r="AE16" i="1"/>
  <c r="F5" i="4" s="1"/>
  <c r="AD16" i="1"/>
  <c r="AA16" i="1"/>
  <c r="AB16" i="1" s="1"/>
  <c r="E5" i="4" s="1"/>
  <c r="Y16" i="1"/>
  <c r="D5" i="4" s="1"/>
  <c r="X16" i="1"/>
  <c r="U16" i="1"/>
  <c r="T16" i="1"/>
  <c r="V16" i="1" s="1"/>
  <c r="AD15" i="1"/>
  <c r="AE15" i="1" s="1"/>
  <c r="F4" i="4" s="1"/>
  <c r="F8" i="4" s="1"/>
  <c r="D7" i="2" s="1"/>
  <c r="AA15" i="1"/>
  <c r="AB15" i="1" s="1"/>
  <c r="E4" i="4" s="1"/>
  <c r="X15" i="1"/>
  <c r="Y15" i="1" s="1"/>
  <c r="D4" i="4" s="1"/>
  <c r="V15" i="1"/>
  <c r="C4" i="4" s="1"/>
  <c r="U15" i="1"/>
  <c r="T15" i="1"/>
  <c r="AE14" i="1"/>
  <c r="F7" i="3" s="1"/>
  <c r="AB14" i="1"/>
  <c r="E7" i="3" s="1"/>
  <c r="Y14" i="1"/>
  <c r="D7" i="3" s="1"/>
  <c r="V14" i="1"/>
  <c r="C7" i="3" s="1"/>
  <c r="AE13" i="1"/>
  <c r="F6" i="3" s="1"/>
  <c r="AB13" i="1"/>
  <c r="E6" i="3" s="1"/>
  <c r="Y13" i="1"/>
  <c r="D6" i="3" s="1"/>
  <c r="V13" i="1"/>
  <c r="C6" i="3" s="1"/>
  <c r="G6" i="3" s="1"/>
  <c r="AE12" i="1"/>
  <c r="F5" i="3" s="1"/>
  <c r="AB12" i="1"/>
  <c r="E5" i="3" s="1"/>
  <c r="E8" i="3" s="1"/>
  <c r="C6" i="2" s="1"/>
  <c r="Y12" i="1"/>
  <c r="D5" i="3" s="1"/>
  <c r="V12" i="1"/>
  <c r="C5" i="3" s="1"/>
  <c r="AF11" i="1"/>
  <c r="C5" i="14" l="1"/>
  <c r="G5" i="14" s="1"/>
  <c r="AF61" i="1"/>
  <c r="G6" i="13"/>
  <c r="D7" i="13"/>
  <c r="L5" i="2" s="1"/>
  <c r="D8" i="4"/>
  <c r="D5" i="2" s="1"/>
  <c r="AF59" i="1"/>
  <c r="AF54" i="1"/>
  <c r="E12" i="11"/>
  <c r="J6" i="2" s="1"/>
  <c r="AF40" i="1"/>
  <c r="D9" i="9"/>
  <c r="H5" i="2" s="1"/>
  <c r="D7" i="8"/>
  <c r="G5" i="2" s="1"/>
  <c r="E8" i="4"/>
  <c r="D6" i="2" s="1"/>
  <c r="C4" i="5"/>
  <c r="AF19" i="1"/>
  <c r="AG11" i="1"/>
  <c r="C5" i="4"/>
  <c r="G5" i="4" s="1"/>
  <c r="AF16" i="1"/>
  <c r="G7" i="3"/>
  <c r="AF14" i="1"/>
  <c r="E7" i="6"/>
  <c r="G5" i="6"/>
  <c r="AF23" i="1"/>
  <c r="G6" i="7"/>
  <c r="AF27" i="1"/>
  <c r="E7" i="8"/>
  <c r="G6" i="2" s="1"/>
  <c r="G5" i="8"/>
  <c r="AF30" i="1"/>
  <c r="E9" i="9"/>
  <c r="H6" i="2" s="1"/>
  <c r="G5" i="9"/>
  <c r="AF33" i="1"/>
  <c r="D10" i="10"/>
  <c r="I5" i="2" s="1"/>
  <c r="G6" i="10"/>
  <c r="AF39" i="1"/>
  <c r="G8" i="10"/>
  <c r="AF41" i="1"/>
  <c r="F12" i="11"/>
  <c r="J7" i="2" s="1"/>
  <c r="G6" i="11"/>
  <c r="AF45" i="1"/>
  <c r="D9" i="12"/>
  <c r="K5" i="2" s="1"/>
  <c r="G7" i="12"/>
  <c r="AF55" i="1"/>
  <c r="AF62" i="1"/>
  <c r="F8" i="3"/>
  <c r="C7" i="2" s="1"/>
  <c r="G4" i="11"/>
  <c r="AF13" i="1"/>
  <c r="C8" i="3"/>
  <c r="C4" i="2" s="1"/>
  <c r="G5" i="3"/>
  <c r="AF12" i="1"/>
  <c r="AF15" i="1"/>
  <c r="G6" i="4"/>
  <c r="AF17" i="1"/>
  <c r="D7" i="5"/>
  <c r="E5" i="2" s="1"/>
  <c r="AF21" i="1"/>
  <c r="F7" i="6"/>
  <c r="G6" i="6"/>
  <c r="AF24" i="1"/>
  <c r="AF28" i="1"/>
  <c r="F7" i="8"/>
  <c r="G7" i="2" s="1"/>
  <c r="G6" i="8"/>
  <c r="AF31" i="1"/>
  <c r="F9" i="9"/>
  <c r="H7" i="2" s="1"/>
  <c r="G6" i="9"/>
  <c r="AF34" i="1"/>
  <c r="E10" i="10"/>
  <c r="I6" i="2" s="1"/>
  <c r="G9" i="10"/>
  <c r="AF42" i="1"/>
  <c r="AF43" i="1"/>
  <c r="AF46" i="1"/>
  <c r="AF48" i="1"/>
  <c r="E9" i="12"/>
  <c r="K6" i="2" s="1"/>
  <c r="G5" i="12"/>
  <c r="AF52" i="1"/>
  <c r="G8" i="12"/>
  <c r="AF56" i="1"/>
  <c r="E10" i="14"/>
  <c r="M6" i="2" s="1"/>
  <c r="G7" i="14"/>
  <c r="AF63" i="1"/>
  <c r="G8" i="3"/>
  <c r="G4" i="10"/>
  <c r="G10" i="11"/>
  <c r="C8" i="4"/>
  <c r="D4" i="2" s="1"/>
  <c r="G4" i="4"/>
  <c r="G7" i="4"/>
  <c r="AF18" i="1"/>
  <c r="E7" i="5"/>
  <c r="E6" i="2" s="1"/>
  <c r="G5" i="5"/>
  <c r="AF20" i="1"/>
  <c r="C7" i="6"/>
  <c r="G4" i="6"/>
  <c r="G7" i="6" s="1"/>
  <c r="AF22" i="1"/>
  <c r="G4" i="7"/>
  <c r="G8" i="7" s="1"/>
  <c r="C8" i="7"/>
  <c r="F4" i="2" s="1"/>
  <c r="F8" i="2" s="1"/>
  <c r="C9" i="15" s="1"/>
  <c r="AF25" i="1"/>
  <c r="C7" i="8"/>
  <c r="G4" i="2" s="1"/>
  <c r="G4" i="8"/>
  <c r="AF29" i="1"/>
  <c r="AG29" i="1" s="1"/>
  <c r="G4" i="9"/>
  <c r="C9" i="9"/>
  <c r="H4" i="2" s="1"/>
  <c r="H8" i="2" s="1"/>
  <c r="C11" i="15" s="1"/>
  <c r="AF32" i="1"/>
  <c r="G7" i="9"/>
  <c r="AF35" i="1"/>
  <c r="F10" i="10"/>
  <c r="I7" i="2" s="1"/>
  <c r="D12" i="11"/>
  <c r="J5" i="2" s="1"/>
  <c r="G7" i="11"/>
  <c r="G8" i="11"/>
  <c r="AF47" i="1"/>
  <c r="AF50" i="1"/>
  <c r="F9" i="12"/>
  <c r="K7" i="2" s="1"/>
  <c r="G6" i="12"/>
  <c r="AF53" i="1"/>
  <c r="G4" i="13"/>
  <c r="G7" i="13" s="1"/>
  <c r="C7" i="13"/>
  <c r="L4" i="2" s="1"/>
  <c r="L8" i="2" s="1"/>
  <c r="C15" i="15" s="1"/>
  <c r="AF57" i="1"/>
  <c r="AF58" i="1"/>
  <c r="F10" i="14"/>
  <c r="M7" i="2" s="1"/>
  <c r="G8" i="14"/>
  <c r="AF64" i="1"/>
  <c r="D8" i="3"/>
  <c r="C5" i="2" s="1"/>
  <c r="G9" i="11"/>
  <c r="G5" i="13"/>
  <c r="G5" i="7"/>
  <c r="AF26" i="1"/>
  <c r="AF36" i="1"/>
  <c r="C12" i="11"/>
  <c r="J4" i="2" s="1"/>
  <c r="G5" i="11"/>
  <c r="AF44" i="1"/>
  <c r="C9" i="12"/>
  <c r="K4" i="2" s="1"/>
  <c r="G4" i="12"/>
  <c r="AF51" i="1"/>
  <c r="G4" i="14"/>
  <c r="C10" i="14"/>
  <c r="M4" i="2" s="1"/>
  <c r="M8" i="2" s="1"/>
  <c r="C16" i="15" s="1"/>
  <c r="AF60" i="1"/>
  <c r="G9" i="14"/>
  <c r="AF65" i="1"/>
  <c r="G6" i="5"/>
  <c r="G5" i="10"/>
  <c r="G7" i="10"/>
  <c r="C10" i="10"/>
  <c r="I4" i="2" s="1"/>
  <c r="D8" i="2" l="1"/>
  <c r="C7" i="15"/>
  <c r="N4" i="2"/>
  <c r="G8" i="4"/>
  <c r="AG57" i="1"/>
  <c r="G9" i="12"/>
  <c r="K8" i="2"/>
  <c r="C14" i="15" s="1"/>
  <c r="AG37" i="1"/>
  <c r="I8" i="2"/>
  <c r="C12" i="15" s="1"/>
  <c r="G8" i="2"/>
  <c r="C10" i="15" s="1"/>
  <c r="G7" i="8"/>
  <c r="G10" i="14"/>
  <c r="C8" i="2"/>
  <c r="AG51" i="1"/>
  <c r="G9" i="9"/>
  <c r="AG15" i="1"/>
  <c r="AG19" i="1"/>
  <c r="AG22" i="1"/>
  <c r="AG60" i="1"/>
  <c r="J8" i="2"/>
  <c r="C13" i="15" s="1"/>
  <c r="G12" i="11"/>
  <c r="C7" i="5"/>
  <c r="E4" i="2" s="1"/>
  <c r="E8" i="2" s="1"/>
  <c r="C8" i="15" s="1"/>
  <c r="G4" i="5"/>
  <c r="G7" i="5" s="1"/>
  <c r="AG32" i="1"/>
  <c r="G10" i="10"/>
  <c r="AG43" i="1"/>
  <c r="C6" i="15" l="1"/>
</calcChain>
</file>

<file path=xl/sharedStrings.xml><?xml version="1.0" encoding="utf-8"?>
<sst xmlns="http://schemas.openxmlformats.org/spreadsheetml/2006/main" count="1377" uniqueCount="692">
  <si>
    <t>Proceso Estrategico
Direccionamiento Estrategico</t>
  </si>
  <si>
    <t xml:space="preserve">Código: CSC-DE-FR-06		</t>
  </si>
  <si>
    <t>Versión: 03</t>
  </si>
  <si>
    <t>Plan de Acción</t>
  </si>
  <si>
    <t>Fecha: Mayo 30 de 2023</t>
  </si>
  <si>
    <t>Vigencia:</t>
  </si>
  <si>
    <t>PLAN DE DESARROLLO</t>
  </si>
  <si>
    <t>OBJETIVO ESTRATÉGICO INSTITUCIONAL</t>
  </si>
  <si>
    <t xml:space="preserve">SEGUIMIENTO </t>
  </si>
  <si>
    <t>Responsable:</t>
  </si>
  <si>
    <t>Equipo de Planeación</t>
  </si>
  <si>
    <t>GOBERNANDO: MÁS QUE UN PLAN!</t>
  </si>
  <si>
    <t>Establecer lineas de acción a corto, mediano y largo plazo que permitan cumplir con los compromisos y objetivos de la Entidad.</t>
  </si>
  <si>
    <t>2024</t>
  </si>
  <si>
    <t>INDICADORES</t>
  </si>
  <si>
    <t>FRECUENCIA</t>
  </si>
  <si>
    <t>MEDICIÓN 
TRIMESTRE I</t>
  </si>
  <si>
    <t>MEDICIÓN 
TRIMESTRE II</t>
  </si>
  <si>
    <t>MEDICIÓN 
TRIMESTRE III</t>
  </si>
  <si>
    <t>MEDICIÓN 
TRIMESTRE IV</t>
  </si>
  <si>
    <t>ITEM</t>
  </si>
  <si>
    <t>RELACIÓN CON LA POLÍTICA DE CALIDAD</t>
  </si>
  <si>
    <t>OBJETIVO DE CALIDAD</t>
  </si>
  <si>
    <t>PROCESO AL QUE PERTENENCE EN LA ENTIDAD</t>
  </si>
  <si>
    <t>RESPONSABLE</t>
  </si>
  <si>
    <t>DEPENDENCIA(S) ASOCIADA(S)</t>
  </si>
  <si>
    <t>ACTIVIDAD</t>
  </si>
  <si>
    <t>NOMBRE DEL INDICADOR</t>
  </si>
  <si>
    <t>PROPÓSITO DEL INDICADOR</t>
  </si>
  <si>
    <t>FÓRMULA</t>
  </si>
  <si>
    <t>UNIDAD DE MEDIDA</t>
  </si>
  <si>
    <t>TIPO DE INDICADOR</t>
  </si>
  <si>
    <t>LÍNEA BASE (PUNTO  DE PARTIDA)</t>
  </si>
  <si>
    <t>REFERENCIA PARA DEFINICIÓN DE LÍNEA BASE</t>
  </si>
  <si>
    <t>META 
(Qué se pretende lograr?)</t>
  </si>
  <si>
    <t>PONDERACIÓN DENTRO DEL PROCESO</t>
  </si>
  <si>
    <t>Cuándo se mide</t>
  </si>
  <si>
    <t>Cuándo inicia</t>
  </si>
  <si>
    <t>Cuándo finaliza</t>
  </si>
  <si>
    <t>EJECUTADO</t>
  </si>
  <si>
    <t>PROGRAMADO</t>
  </si>
  <si>
    <t>%CUMPLIMIENTO (1)</t>
  </si>
  <si>
    <t>%CUMPLIMIENTO (2)</t>
  </si>
  <si>
    <t>%CUMPLIMIENTO (3)</t>
  </si>
  <si>
    <t>%CUMPLIMIENTO (4)</t>
  </si>
  <si>
    <t>PORCENTAJE  DE CUMPLIMIENTO ACUMULADO (Total acumulado *100 / Meta).</t>
  </si>
  <si>
    <t>PORCENTAJE POR DEPENDENCIAS</t>
  </si>
  <si>
    <t>DIMENSIÓN DE MIPG</t>
  </si>
  <si>
    <t>POLITÍCA DE LA DIMENSIÓN</t>
  </si>
  <si>
    <t>OBSERVACIONES 1ER. TRIMESTRE (Cada Proceso)</t>
  </si>
  <si>
    <t>OBSERVACIONES 1ER. TRIMESTRE (Planeación)</t>
  </si>
  <si>
    <t>OBSERVACIONES 2DO. TRIMESTRE (Cada Proceso)</t>
  </si>
  <si>
    <t>OBSERVACIONES 2DO. TRIMESTRE (Planeación)</t>
  </si>
  <si>
    <t>OBSERVACIONES 3ER. TRIMESTRE (Cada Proceso)</t>
  </si>
  <si>
    <t>OBSERVACIONES 3ER. TRIMESTRE (Planeación)</t>
  </si>
  <si>
    <t>OBSERVACIONES 4TO.  TRIMESTRE (Cada Proceso)</t>
  </si>
  <si>
    <t>OBSERVACIONES 4TO.  TRIMESTRE (Planeación)</t>
  </si>
  <si>
    <t>Mejora el Sistema de Gestión de
Calidad y asegura su integración con el Modelo Integrado de Planeación y
Gestión.</t>
  </si>
  <si>
    <t>Generar acciones de mejora continua para optimizar los procesos</t>
  </si>
  <si>
    <t>ESTRATÉGICO
Direccionamiento Estratégico</t>
  </si>
  <si>
    <t>Asesor de Gerencia 
(Grupo de Planeación)</t>
  </si>
  <si>
    <t>Gerencia
Planeación</t>
  </si>
  <si>
    <t>Seguimiento y consolidación del Formulario Único de Reporte de Avances de la Gestión "FURAG" y evaluación del Modelo Integrado de Planeación y Gestión  "MIPG"</t>
  </si>
  <si>
    <t>Porcentaje de calificación a MIPG por medio del FURAG (Función Pública)</t>
  </si>
  <si>
    <t>Evaluar el nivel de avance en el Modelo Integrado de Planeación y Gestión de la CSC</t>
  </si>
  <si>
    <t>Resultado total de la evaluación de MIPG a través del FURAG mayor a 90%</t>
  </si>
  <si>
    <t>Porcentaje</t>
  </si>
  <si>
    <t>Eficacia</t>
  </si>
  <si>
    <t>Resultados FURAG 2022</t>
  </si>
  <si>
    <t>&gt; 90</t>
  </si>
  <si>
    <t>Anual</t>
  </si>
  <si>
    <t>N/A</t>
  </si>
  <si>
    <t>Direccionamiento estratégico y Planeación</t>
  </si>
  <si>
    <t>Planeación institucional</t>
  </si>
  <si>
    <t>Para el periodo que corresponde al primer trimestre de año 2024, a pesar, que el grupo de Planeación no tiene actividades programadas para este indicador, se efectuó seguimiento a la página de la Función Pública para verificar los lineamientos que se llevarían a cabo, con el fin de realizar el reporte de FURAG. Adicionalmente, personal asignado del área, participó en la capacitación que se llevó a cabo el día 13 de marzo, en donde recibieron instrucciones para realizar la inscripción de roles en el SIGEP II. Por otra parte, continúa periódico con el seguimiento en la página para verificar la fecha de apertura del cuestionario.</t>
  </si>
  <si>
    <t>Para el segundo trimestre, aunque no estaba prevista la medición de este indicador, se avanzó en el seguimiento para la presentación del informe. El 9 de abril se realizó una reunión de apertura ante el Comité Institucional de Gestión y Desempeño, donde se designaron líderes para cada política. Además, desde la oficina se brindó acompañamiento y asesoría en la resolución de preguntas y la presentación de evidencias. Posteriormente, el 10 de mayo, se presentó el reporte de la matriz FURAG de toda la entidad.</t>
  </si>
  <si>
    <t>Seguimiento a los 12 planes del Decreto 612 de 2018</t>
  </si>
  <si>
    <t>Seguimiento al cronograma de actividades de los 12 planes del Decreto 612 de 2018</t>
  </si>
  <si>
    <t>Realizar el seguimiento al avance de actividades propuestas en los planes</t>
  </si>
  <si>
    <t xml:space="preserve">Número de informes de seguimiento realizados a los Planes del Decreto 612 de 2018 / Total de informes de seguimiento programado a los Planes del Decreto 612 de 2018 </t>
  </si>
  <si>
    <t>Cantidad</t>
  </si>
  <si>
    <t>Año 2023</t>
  </si>
  <si>
    <t>trimestral</t>
  </si>
  <si>
    <t>Durante el primer trimestre de 2024, los Planes Institucionales fueron revisados y consolidados con el propósito de garantizar su coherencia y alineación con los objetivos estratégicos. Estos planes fueron presentados ante el Comité Institucional de Gestión de Desempeño para su aprobación y posterior publicación en la pagina web antes del 31 de enero. Posteriormente, el equipo de planeación realizó un acompañamiento constante a los procesos responsables de la implementación de los planes, enfocándose principalmente en la actualización de los cronogramas. Esto aseguró que todas las actividades programadas estuvieran alineadas con los tiempos estipulados. Los planes pueden ser consultados en el siguiente enlace  link: https://csc.gov.co/transparencia/ Se anexan como evidencias en la Ruta de la Calidad, algunas actas de reuniones con los procesos.</t>
  </si>
  <si>
    <t>Durante el segundo trimestre de 2024, la oficina de Planeación realizó seguimientos a las actividades propuestas en los planes, cumpliendo satisfactoriamente con el indicador. En estos seguimientos se evidenciaron avances significativos en la mayoría de los planes. Sin embargo, algunos, como Anticorrupción (20%), Previsión de RRHH (13%), Plan Anual de Adquisiciones (23%) y Capacitaciones (25%), presentan ejecuciones por debajo del 30%. Por ello, se ofrecerá acompañamiento a estas áreas para asegurar el cumplimiento de las actividades pendientes.</t>
  </si>
  <si>
    <t>Mejora el Sistema de Gestión de
Calidad y asegura si integración con el Modelo Integrado de Planeación y
Gestión,</t>
  </si>
  <si>
    <t>Seguimiento y publicación del plan de acción de la Corporación Social de Cundinamarca</t>
  </si>
  <si>
    <t>Efectividad al seguimiento del plan de acción</t>
  </si>
  <si>
    <t>Realizar el seguimiento, evaluación y publicación del Plan de acción CSC</t>
  </si>
  <si>
    <t xml:space="preserve">Número de seguimientos, evaluación y publicación del Plan de acción / Número de trimestres en el año </t>
  </si>
  <si>
    <t>Efectividad</t>
  </si>
  <si>
    <t>Trimestral</t>
  </si>
  <si>
    <t>Durante el primer trimestre se llevó a cabo el seguimiento a los indicadores del Plan de acción de los diferentes procesos mostrando un avance del 21.37% en toda la ejecución del plan.</t>
  </si>
  <si>
    <t>Seguimiento y actualización al Sistema Único de Información de trámites -SUIT</t>
  </si>
  <si>
    <t>Seguimiento y actualización al Sistema de trámites de CSC en la Plataforma de la Función Pública</t>
  </si>
  <si>
    <t>Realizar el seguimiento y actualización al Sistema de trámites de CSC</t>
  </si>
  <si>
    <t>Seguimientos programados por la Función pública a los trámites de la CSC / los programados</t>
  </si>
  <si>
    <t>Durante el primer trimestre de 2024, se realizó un seguimiento en la plataforma SUIT (Sistema Único de Información de Trámites) evidenciándose que todos los trámites inscritos están completamente actualizados. Además, la estrategia de racionalización correspondiente al año 2023 se encuentra con los respectivos monitoreos y evaluaciones. Se actualizaron los datos de operación para cada trámite inscrito. Por otro lado, se proyecta que para el próximo seguimiento se podrá plantear una nueva estrategia de racionalización con la nueva administración.</t>
  </si>
  <si>
    <t>Durante el segundo trimestre, se llevó a cabo el seguimiento en la plataforma SUIT, logrando el cumplimiento del indicador. Se desarrolló una estrategia de racionalización para los tres trámites registrados, y se continuará con el seguimiento necesario a los procesos misionales  para garantizar su correcta ejecución.</t>
  </si>
  <si>
    <t>Aumentar la felicidad y satisfacción en la prestación del servicio a los
afiliados</t>
  </si>
  <si>
    <t>Incrementar la satisfacción y fidelización de nuestros afiliados</t>
  </si>
  <si>
    <t>MISIONAL
 Atención al Cliente</t>
  </si>
  <si>
    <t>Jefe Oficina de Prensa y Atención Cliente</t>
  </si>
  <si>
    <t>Oficina de Prensa y Atención al Cliente</t>
  </si>
  <si>
    <t xml:space="preserve">Atender las PQRSDF dentro de los términos legales. </t>
  </si>
  <si>
    <t>Porcentaje de respuesta oportuna a PQRSDF</t>
  </si>
  <si>
    <t>Estimar la capacidad de la CSC para atender las peticiones, quejas, reclamos, sugerencias, denuncias y felicitaciones dentro de los términos legales.</t>
  </si>
  <si>
    <t>(PQRSDF resueltas dentro del término / Total PQRSDF recibidas en el periodo) * 100</t>
  </si>
  <si>
    <t>Promedio de años anteriores</t>
  </si>
  <si>
    <t>Gestión con valores para resultados</t>
  </si>
  <si>
    <t>Servicio al cuidadano</t>
  </si>
  <si>
    <t>Para los meses de enero, febrero y marzo se recibieron 15 PQRSDF, de las cuales 13 se respondieron dentro del termino establecido, las cuales pertenecen a las áreas de cartera, jurídica y talento humano. por otra parte, otras 2 no se respondieron a tiempo debido a cambios de administración.
Correo: atencionalcliente@csc.gov.co
- Cartera y Créditos: Se respondieron 7 PQRSDF en término y ninguna fuera de término.
- Jurídica: Se respondieron 6 PQRSDF en término y 1 fuera de término.
- Talento Humano: No se respondieron PQRSDF en término y se respondió 1 fuera de término.</t>
  </si>
  <si>
    <t>Jefe Oficina de Prensa y atención cliente</t>
  </si>
  <si>
    <t xml:space="preserve">Medir la satisfacción del cliente externo, mínimo del 70% de la población atendida </t>
  </si>
  <si>
    <t>Porcentaje de satifacción de los clientes</t>
  </si>
  <si>
    <t>Medir la satisfacción de los clientes mínimo del 70% de la población atendida respecto de los servicios y/o productos ofrecidos por la CSC</t>
  </si>
  <si>
    <t xml:space="preserve">(Total de clientes satisfechos / total clientes encuestados )*100
</t>
  </si>
  <si>
    <t>Eficiencia</t>
  </si>
  <si>
    <t>Se presentan los resultados de las encuestas realizadas durante los meses de enero, febrero y marzo. Las encuestas se enfocaron en varios aspectos del servicio brindado, incluyendo el tiempo de espera, la claridad de la información proporcionada, la amabilidad del personal y la calidad de las instalaciones.
1. Tiempo de espera para ser atendido:
   - Muy Satisfecho: 45 encuestados (91.84%)
   - Satisfecho: 3 encuestados (6.12%)
   - Aceptable: 0 encuestados (0%)
   - Insatisfecho: 0 encuestados (0%)
   - Muy Insatisfecho: 1 encuestado (2.04%)
2. ¿Tuvo solución su requerimiento?
   - Muy Satisfecho: 45 encuestados (91.84%)
   - Satisfecho: 2 encuestados (4.08%)
   - Aceptable: 0 encuestados (0%)
   - Insatisfecho: 0 encuestados (0%)
   - Muy Insatisfecho: 2 encuestados (4.08%)
3. ¿La información suministrada por el funcionario y/o asesor fue clara y oportuna?
   - Muy Satisfecho: 46 encuestados (93.88%)
   - Satisfecho: 2 encuestados (4.08%)
   - Aceptable: 0 encuestados (0%)
   - Insatisfecho: 0 encuestados (0%)
   - Muy Insatisfecho: 1 encuestado (2.04%)
4. ¿Cómo encontró las instalaciones físicas y herramientas tecnológicas?
   - Muy Satisfecho: 45 encuestados (91.84%)
   - Satisfecho: 2 encuestados (4.08%)
   - Aceptable: 1 encuestado (2.04%)
   - Insatisfecho: 0 encuestados (0%)
   - Muy Insatisfecho: 1 encuestado (2.04%)
5. ¿Cómo califica la amabilidad por parte del funcionario y/o asesor?
   - Muy Satisfecho: 46 encuestados (93.88%)
   - Satisfecho: 2 encuestados (4.08%)
   - Aceptable: 0 encuestados (0%)
   - Insatisfecho: 0 encuestados (0%)
   - Muy Insatisfecho: 1 encuestado (2.04%).</t>
  </si>
  <si>
    <t>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t>
  </si>
  <si>
    <t>Seguimiento al Plan de Comunicaciones de la CSC</t>
  </si>
  <si>
    <t>Seguimiento al cronograma de actividades del plan de comunicaciones</t>
  </si>
  <si>
    <t>Seguimiento y evaluación al Plan de Comunicaciones de la CSC</t>
  </si>
  <si>
    <t xml:space="preserve">Total de actividades ejecutadas en el trimestre / Número de actividades planteadas en el plan </t>
  </si>
  <si>
    <t>Resultado del año inmediatamente anterior.</t>
  </si>
  <si>
    <t>Proporcional al trimestre</t>
  </si>
  <si>
    <t>El compromiso de incrementar la satisfacción y fidelización de nuestros afiliados se materializa a través del cumplimiento del cronograma de trabajo y actividades. A continuación, se detallan las principales acciones realizadas durante los meses de enero, febrero y marzo:
Estrategia para Opinión Pública:
   - Publicación de comunicados de prensa y publirreportajes.
   - Avisos publicitarios en medios locales y regionales.
   - Gestión de la Oficina de Prensa y Atención al Cliente.
 Estrategia de Contacto Personal:
   - Organización de comités y reuniones de gerencia.
   - Participación activa de la alta gerencia y el equipo de trabajo.
 Capacitación en Gestión Administrativa:
   - Programas de formación y capacitación para el manejo de la gestión administrativa de trámites de la entidad.
 Campañas de Servicio en Municipios:
   - Realización de campañas de servicio en diferentes municipios de Cundinamarca, acercando nuestros servicios a la comunidad.
 Entrega de Bonos e Incentivos:
   - Distribución de bonos e incentivos a los afiliados como reconocimiento a su fidelidad y participación activa.</t>
  </si>
  <si>
    <t>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t>
  </si>
  <si>
    <t xml:space="preserve">Realizar nuevas vinculaciones durante el cuatrienio </t>
  </si>
  <si>
    <t>Efectividad vinculaciones</t>
  </si>
  <si>
    <t>Evaluar la efectividad de la gestión de vinculaciones realizadas</t>
  </si>
  <si>
    <t>(Número de vinculaciones efectivas en el Periodo /Total de vinculaciones prograadas) * 100</t>
  </si>
  <si>
    <t>Desde la Oficina de Prensa y Atención al Cliente, teníamos la meta para el primer trimestre de cumplir con 140 afiliaciones, y nos complace anunciar que hemos CUMPLIDO con esa meta.
Las 140 afiliaciones se distribuyen de la siguiente manera:
En enero realizamos 14 afiliaciones.
En febrero realizamos 60 afiliaciones.
En marzo realizamos 66 afiliaciones.
Este esfuerzo conjunto nos permitió alcanzar un total de 140 afiliaciones, logrando así nuestro objetivo para el primer trimestre.</t>
  </si>
  <si>
    <t>El indicador cumple con lo programado.  Este resultado fortalece la base de afiliados y contribuye al crecimiento y sostenibilidad de la entidad.</t>
  </si>
  <si>
    <t>Estableciendo lineamientos y cumpliendo con los requisitos aplicables al otorgamiento de créditos y planes de bienestar social en el ámbito departamental</t>
  </si>
  <si>
    <t>Mejorar la calidad del servicio en oportunidad, seguridad, confiabilidad y asesoría adecuada</t>
  </si>
  <si>
    <t>MISIONAL
Bienestar</t>
  </si>
  <si>
    <t>Subgerente de Servicios Corporativos
Profesional Universitario  (Bienestar).</t>
  </si>
  <si>
    <t xml:space="preserve">*Subgerencia de Servicios Corporativos.
</t>
  </si>
  <si>
    <t>Beneficiar el 20% de los afiliados y beneficiarios con las actividades y servicios de bienestar que presta la Corporación.</t>
  </si>
  <si>
    <t>Afiliados beneficiados con programas de bienestar social  (capacitaciones, recreación, promoción)</t>
  </si>
  <si>
    <t>Medir el porcentaje de afiliados beneficiados con los servicios de bienestar que presta la Corporación</t>
  </si>
  <si>
    <t>Número de afiliados beneficiados *100 /
Total de afiliados</t>
  </si>
  <si>
    <t>Resultado del año anterior.</t>
  </si>
  <si>
    <t>En el primer trimestre del 2024 se entregaron 817 anchetas y 50 kits en conmemoración del día del hombre y la mujer y mantener la fidelización de los afiliados.  Cumpliendo un 95,70 % de la meta esperada.</t>
  </si>
  <si>
    <t>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t>
  </si>
  <si>
    <t>*Subgerencia de Servicios Corporativos.</t>
  </si>
  <si>
    <t>Beneficiar a los afiliados con actividades   encaminadas a difundir y promocionar el portafolio de servicios de la entidad. Asesorando y tramitando tanto créditos como afiliaciones de manera virtual y presencial  en los diferentes municipios del Departamento.</t>
  </si>
  <si>
    <t>Eficacia en la promoción del portafolio de servicios de la entidad en los municipios del Departamento</t>
  </si>
  <si>
    <t>Medir el  porcentaje de municipios Cundinamarqueses visitados</t>
  </si>
  <si>
    <t xml:space="preserve">Número de municipios cundinamarqueses visitados por el  Grupo de Asesores Comerciales *100 /
número de municipios cundinamarqueses programados visitar </t>
  </si>
  <si>
    <t>En el primer trimestre del 2024 no se han iniciado las visitas a los municipios, debido a que no se ha realizado contratacion de asesores comerciales.</t>
  </si>
  <si>
    <t>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t>
  </si>
  <si>
    <t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t>
  </si>
  <si>
    <t xml:space="preserve">Eficacia de subsidios educativos </t>
  </si>
  <si>
    <t>Medir el número de entregas de subsidios educativos a los afiliados que ya cuentan con el beneficio de este programa</t>
  </si>
  <si>
    <t>Número de subsidios educativos entregados*100  /
Número de subsidios educativos activos</t>
  </si>
  <si>
    <t>semestral</t>
  </si>
  <si>
    <t>En el primer trimestre del 2024 se giraron 10 subsidios educativos, de 30 subsidios activos. De igual forma se mediran semestralmente.</t>
  </si>
  <si>
    <t>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t>
  </si>
  <si>
    <t xml:space="preserve">Se desembolsaron 7 subsidios educativos en el segundo trimestre para un total de 17 subsidios girados en el semestre de los 30 esperados, los 13 no girados corresponden a: 5 finalizaron carrera, 1 pierde materia, 1 cambia de universidad, 1 cambia carrera, 1 deja de reclamar mas de 2 semestres, 1 no reclamó, 3 presentaron documentos despues del cierre de armonizacion presupuestal.  </t>
  </si>
  <si>
    <t>MISIONAL
Crédito y Cartera</t>
  </si>
  <si>
    <t xml:space="preserve"> Profesional de crédito</t>
  </si>
  <si>
    <t xml:space="preserve"> Subgerencia de Servicios Corporativos.</t>
  </si>
  <si>
    <t xml:space="preserve">Colocación de créditos. </t>
  </si>
  <si>
    <t>Avance en la colocación de créditos</t>
  </si>
  <si>
    <t>Garantizar el cumplimiento de la meta del Plan de desarrollo (Meta total del cuatrienio: 8000 créditos)</t>
  </si>
  <si>
    <t>Número de créditos desembolsados en el periodo  * 100 /
Número de créditos programados para desembolsar en el periodo</t>
  </si>
  <si>
    <t>Resultado de la meta propuesta en el plan de desarrollo</t>
  </si>
  <si>
    <t>Durante el Primer  Trimestre de 2024 se desembolsaron 82 créditos de 122 que fueron radicados durante el mismo periodo, en razón de que algunos afiliados no legalizaron documentos para lograr el respectivo desembolso. La meta de 150 créditos para el primer  trimestre de 2024 no  fue cumplida.</t>
  </si>
  <si>
    <t>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t>
  </si>
  <si>
    <t>Durante el segundo trimestre de 2024 se desembolsaron 103 créditos de 89 que fueron radicados durante el mismo periodo, en razón de que algunos afiliados no legalizaron documentos para lograr el respectivo desembolso. La meta de 650 créditos para el segundo  trimestre de 2024 no  fue cumplida.</t>
  </si>
  <si>
    <t>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t>
  </si>
  <si>
    <t>Asegurar el cumplimiento de tiempos en los Créditos hipotecarios.</t>
  </si>
  <si>
    <t>Oportunidad en la gestión de otorgamiento créditos hipotecarios.</t>
  </si>
  <si>
    <t>Verificar el cumplimiento de los términos establecidos para el desembolso de créditos hipotecarios (una vez se encuentren radicados los documentos para iniciar el trámite).</t>
  </si>
  <si>
    <t>Créditos hipotecarios desembolsados  en máximo 30 días hábiles  (tiempos de trámites internos CSC) * 100  /  Total créditos hipotecarios desembolsados.</t>
  </si>
  <si>
    <t>De los 82 créditos desembolsados durante el primer trimestre de 2024, 1 corresponde a crédito de vivienda hipotecarios del cual  1 fué desembolsado en un periodo menor a 45 dias, dando cumplimiento a la meta programada  (No se tiene en cuenta el tiempo de trámites externos como notariado, registro, firma de libranzas y pagarés).</t>
  </si>
  <si>
    <t>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t>
  </si>
  <si>
    <t>De los 103 créditos desembolsados durante el segundo trimestre de 2024, 4 corresponde a crédito de vivienda hipotecarios del cual  4 fueron desembolsados en un periodo menor a 45 días, dando cumplimiento a la meta programada  (No se tiene en cuenta el tiempo de trámites externos como notariado, registro, firma de libranzas y pagarés).</t>
  </si>
  <si>
    <t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t>
  </si>
  <si>
    <t>Asegurar el cumplimiento de tiempos en el Crédito de consumo.</t>
  </si>
  <si>
    <t>Oportunidad en la gestión de otorgamiento créditos no hipotecarios.</t>
  </si>
  <si>
    <t>Verificar el cumplimiento de los términos establecidos para el desembolso de créditos no hipotecarios (una vez se encuentren radicados los documentos para iniciar el trámite).</t>
  </si>
  <si>
    <t xml:space="preserve">Créditos no hipotecarios desembolsados  en máximo 15 días (tiempos de trámites internos de CSC) * 100  /  Total créditos no hipotecarios desembolsados.
</t>
  </si>
  <si>
    <t>De los 82 créditos desembolsados en el primer trimestre 2024, 81  corresponden a créditos de consumo, de los cuales 75 fueron desembolsados en un término inferior a 15 días,  mientras que 6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</si>
  <si>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t>
  </si>
  <si>
    <t>De los 99 créditos desembolsados en el segundo trimestre 2024,   corresponden a créditos de consumo, de los cuales 72 fueron desembolsados en un término inferior a 15 días,  mientras que 27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</si>
  <si>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t>
  </si>
  <si>
    <t>Profesional de Cartera
Jefe Oficina Gestión Jurídica</t>
  </si>
  <si>
    <t>* Subgerencia de Servicios Corporativos.
* Dirección de cartera y ahorros
* Oficina Asesora Jurídica</t>
  </si>
  <si>
    <t xml:space="preserve">Disminuir el porcentaje de cartera vencida por debajo del 24%. </t>
  </si>
  <si>
    <t>Indice de cartera vencida</t>
  </si>
  <si>
    <t xml:space="preserve">Mantener el mayor porcentaje posible de saldo de cartera de la entidad en calificación A. </t>
  </si>
  <si>
    <t>Saldo de cartera vencida (diferente a A) *100 / Saldo total de cartera.
(excluir cuentas de orden)</t>
  </si>
  <si>
    <t xml:space="preserve">Efectividad </t>
  </si>
  <si>
    <t>Resultado año anterior</t>
  </si>
  <si>
    <t>&lt; 24%</t>
  </si>
  <si>
    <t>Este indicador de cartera juridica va en aumento y se debe poner plan de contingencia para la celebración de acuerdos de pago para normalizar las obligaciones.</t>
  </si>
  <si>
    <t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t>
  </si>
  <si>
    <t>El indicador dió como resultado del segundo trimestre un 30,8% la oficina Asesora Jurídica debe implentar las acciones necesarias para cumplir con la meta esperada.</t>
  </si>
  <si>
    <t>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t>
  </si>
  <si>
    <t>Profesional de Cartera</t>
  </si>
  <si>
    <t>* Subgerencia de Servicios Corporativos.
* Dirección de cartera y ahorros</t>
  </si>
  <si>
    <t xml:space="preserve">Aplicar el total del valor recaudado de las diferentes pagadurías. </t>
  </si>
  <si>
    <t>Oportunidad en la aplicación del recaudo</t>
  </si>
  <si>
    <t xml:space="preserve">Garantizar el desglose total del valor recaudado de las diferentes pagadurías </t>
  </si>
  <si>
    <t>Valor desglosado en el periodo *100 / Valor recaudado en el periodo</t>
  </si>
  <si>
    <t>Se ha cumplido satisfactoriamente el desglose de los recaudos recibidos.</t>
  </si>
  <si>
    <t>El cumplimiento satisfactorio del desglose de los recaudos recibidos en el primer trimestre de 2024 refleja una gestión eficiente y control de los ingresos.</t>
  </si>
  <si>
    <t>El cumplimiento excelente del desglose de los recaudos recibidos en el segundo trimestre de 2024 refleja una gestión eficiente y control de los ingresos.</t>
  </si>
  <si>
    <t>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t>
  </si>
  <si>
    <t>Disminuir el porcentaje de cartera en "estado persuasivo"</t>
  </si>
  <si>
    <t>Indice de cartera en estado persuasivo</t>
  </si>
  <si>
    <t>Mantener la cartera en el estado preventivo evitando que esta pase a estado persuasivo</t>
  </si>
  <si>
    <t>Saldo de cartera vencida en estado persuasivo *100 / Saldo total de cartera.
(excluir cuentas de orden)</t>
  </si>
  <si>
    <t>&lt;2%</t>
  </si>
  <si>
    <t>El indicador tuvo un aumento debido al cambio de administracion y gobierno, sin embargo, se contrato un equipo de personas para realizar las llamadas de cobro y poder bajar el mismo.</t>
  </si>
  <si>
    <t>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t>
  </si>
  <si>
    <t xml:space="preserve">El indicador tuvo una reducción respecto del trimestre anterior, debido a la gestión que se viene desarrollando por parte del personal contratado para la gestión del cobro en estado persuasivo.
</t>
  </si>
  <si>
    <t>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t>
  </si>
  <si>
    <t>Disminuir el porcentaje de cartera en estado pre-jurídico</t>
  </si>
  <si>
    <t>Indice de cartera en estado pre-jurídico</t>
  </si>
  <si>
    <t>Mantener la cartera en el estado persuasivo evitando que esta pase a estado pre - jurídico</t>
  </si>
  <si>
    <t>Saldo de cartera vencida en estado pre-jurídico *100 / Saldo total de cartera.
(excluir cuentas de orden)</t>
  </si>
  <si>
    <t>El indicador tuvo un aumento debido al cambio de administración y gobierno, sin embargo, se contrato un equipo de personas para realizar las llamadas de cobro y poder bajar el mismo.</t>
  </si>
  <si>
    <t>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t>
  </si>
  <si>
    <t>El indicador dio como resultado del segundo trimestre un 4,4%  , es importante tener en cuenta  que desde el 16 de abril del 2024, se congelo el otorgamiento de creditos lo que afecta en el indicador de la Cartera Total, a pesar que se ha venido realizando la gestión de cobro.</t>
  </si>
  <si>
    <t>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t>
  </si>
  <si>
    <t>Contando con colaboradores y proveedores idóneos</t>
  </si>
  <si>
    <t>Evaluar el desempeño de los proveedores externos para que cumplan con los requisitos</t>
  </si>
  <si>
    <t xml:space="preserve">APOYO
Gestión Contractual </t>
  </si>
  <si>
    <t>Jefe de la Oficina de Contratación</t>
  </si>
  <si>
    <t xml:space="preserve">* Oficina asesora de contratación. </t>
  </si>
  <si>
    <t>Realizar la  gestión contractual acorde con la programación establecida en el Plan Anual de Adquisiciones</t>
  </si>
  <si>
    <t>Seguimiento PAA</t>
  </si>
  <si>
    <t>Hacer seguimiento a la gestión contractual acorde con la programación establecida en el Plan Anual de Adquisiciones</t>
  </si>
  <si>
    <t>Número de contratos celebrados * 100 / Total de contratos previstos en el PAA</t>
  </si>
  <si>
    <t>Direccionamineto estratégico</t>
  </si>
  <si>
    <t>Compras y contratación pública</t>
  </si>
  <si>
    <t>Se envio mediante correo electrónico, memorando solicitando a las dependencias el cumplimiento del cronograma del Plan Anual de Adquisiciones.</t>
  </si>
  <si>
    <t>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t>
  </si>
  <si>
    <t xml:space="preserve">De los 9 contratos proyectados en el PAA para el segundo trimestre se ejecutaron 2 contratos Se envio correo electronico a las dependencias por el incumplimiento y se determino que debido a la armonización presupuestal genero el cierre en el rubro de inversión. Durante el periodo se generaron 42 contratos entre los que se encuentran 2 proyectados en el PAA (febrero y junio de 2024).                                                                                                                                                                                     </t>
  </si>
  <si>
    <t>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t>
  </si>
  <si>
    <t>Publicar a los entes de control del SIA observa</t>
  </si>
  <si>
    <t>Rendición de cuenta a contraloria SIA observa</t>
  </si>
  <si>
    <t>Hacer seguimiento a la rendición de la cuenta en el tiempo establecido</t>
  </si>
  <si>
    <t xml:space="preserve">Número de cuentas rendidas en el plazo establecido(3 primeros días hábiles de cada mes)/3 </t>
  </si>
  <si>
    <t>Cada mes se debe medir</t>
  </si>
  <si>
    <t>Se cumplió con el rendimiento de las cuentas Sia Observa durante el primer trimestre 2024, se adjuntas actas de rendición de cuentas.</t>
  </si>
  <si>
    <t>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t>
  </si>
  <si>
    <t>En este trimestre se realizaron 3 reportes equivalentes a los meses Abril, mayo, junio, cumpliendo con la obligatoriedad de los 3 primeros dias de cada mes, registrando contratos suscritos.</t>
  </si>
  <si>
    <t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t>
  </si>
  <si>
    <t xml:space="preserve">Verificar el comportamiento  de los proveedores </t>
  </si>
  <si>
    <t xml:space="preserve">Reevaluación a proveedores </t>
  </si>
  <si>
    <t>Hacer seguimiento a la evaluación y reevaluación de los proveedores.</t>
  </si>
  <si>
    <t>Reevaluación de los proveedores en el periódo* 100/Número de contratos suscritos a reevaluar.</t>
  </si>
  <si>
    <t xml:space="preserve">Se reevaluaron tres contratos que se terminaron en el primer trimestre, cumpliendo a satisfacción con la reevaluación del proveedor, el cual se encuentra en las actas de terminación de los contratos. </t>
  </si>
  <si>
    <t>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t>
  </si>
  <si>
    <t xml:space="preserve">Durante este trimestre se registro 1 terminacion de contrato suscrito en el 2024, </t>
  </si>
  <si>
    <t>La Corporación Social de Cundinamarca mejora el Sistema de Gestión de Calidad y asegura su integración con los componentes del MECI</t>
  </si>
  <si>
    <t>APOYO
Gestión de la Información</t>
  </si>
  <si>
    <t>Subgerente Administrativa y financiera
Profesional Universitario de Gerencia</t>
  </si>
  <si>
    <t xml:space="preserve">*Subgerencia Administrativa y financiera 
*Gerencia
</t>
  </si>
  <si>
    <t>Realizar mantenimiento preventivo a los equipos de cómputo, impresoras, scanner y equipo de la red de la entidad</t>
  </si>
  <si>
    <t>Gestión de mantenimientos preventivos</t>
  </si>
  <si>
    <t>Evaluar el cumplimiento de los mantenimientos preventivos  de los equipos de cómputo, impresoras, scanner y equipo de la red de la entidad</t>
  </si>
  <si>
    <t>Número de mantenimientos preventivos realizados  *100/ número de mantenimientos preventivos programados.</t>
  </si>
  <si>
    <t xml:space="preserve">Trimestral </t>
  </si>
  <si>
    <t>1. Gestión con valores para resultados.       2. Información y comunicación</t>
  </si>
  <si>
    <t>1. Gobierno digítal y seguridad digítal.                 2. Transparencia y acceso a la información</t>
  </si>
  <si>
    <t>Se creó el estudio previo para realizar “PRESTACIÓN DE SERVICIOS PROFESIONALES PARA APOYAR, RECOMENDAR Y ORIENTAR AL ÁREA DE SISTEMAS DE LA CSC, EN EL LEVANTAMIENTO DE LA INFORMACIÓN TECNOLÓGICA DE LA CORPORACIÓN SOCIAL DE CUNDINAMARCA.”  Con el informe de tecnologia se tomará la decisión de realizar mantenimiento, compra, alquiler o repotencialización de los equipos de cómputo.</t>
  </si>
  <si>
    <t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t>
  </si>
  <si>
    <t>Se realizó el contrato 24-054 con objeto   “PRESTACIÓN DE SERVICIOS PROFESIONALES PARA APOYAR, RECOMENDAR Y ORIENTAR AL AREA DE SISTEMAS DE LA CSC, EN EL LEVANTAMIENTO DE LA INFORMACIÓN TECNOLÓGICA DE LA CORPORACIÓN SOCIAL DE CUNDINAMARCA.”  Con el informe de tecnologia se tomará la decisión de realizar mantenimiento, compra, alquiler o repotencialización de los equipos de cómputo y se dio inicio al contrato el 17 de junio de 2024.</t>
  </si>
  <si>
    <t>Realizar mantenimiento correctivo cuando sea necesario  a los equipos de cómputo, impresoras, scanner y equipo de la red de la entidad, asi como soporte al usuario.</t>
  </si>
  <si>
    <t>Gestión de mantenimientos correctivos y soporte a usuarios</t>
  </si>
  <si>
    <t xml:space="preserve">Generar mantenimientos correctivos a los equipos de computo, impresoras, scanner y equipos de Red de la entidad, así como brindar soporte técnico a los usuarios según la necesidad. </t>
  </si>
  <si>
    <t>Número de casos de mantenimientos correctivos solucionados / Número de casos de mantenimiento presentados *100</t>
  </si>
  <si>
    <t>Se realizó soporte de mantenimiento correctivo a los equipos de la red y soporte a los usuarios. Se encuentran documentados 28 requerimientos.</t>
  </si>
  <si>
    <t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t>
  </si>
  <si>
    <t>*Subgerencia Administrativa y financiera 
*Gerencia</t>
  </si>
  <si>
    <t xml:space="preserve">Adquirir los equipos tecnológicos requeridos por la entidad. </t>
  </si>
  <si>
    <t>Gestión y adquisición de proyectos tecnológicos</t>
  </si>
  <si>
    <t>Gestionar el proceso de  compra y/o alquiler de equipos tecnológicos y/o infraestructura tecnológica.</t>
  </si>
  <si>
    <t>Cantidad de equipos e infraestructura tecnológica adquirida *100/ Cantidad de equipos  e infraestructura requerida</t>
  </si>
  <si>
    <t>Se realizó el proceso de contratación para adquirir en alquiler las impresoras y escaneres requeridos para el funcionamiento operativo de la CSC.</t>
  </si>
  <si>
    <t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t>
  </si>
  <si>
    <t>Se realizó el proceso de compra para adquirir las licencias g-suite para el funcionamiento operativo de la CSC, CONTRATO 24-007.</t>
  </si>
  <si>
    <t xml:space="preserve">*Subgerencia Administrativa y financiera 
</t>
  </si>
  <si>
    <t xml:space="preserve">Publicación y seguimiento del Plan de Tratamiento de Riesgos de Seguridad y Privacidad de la Información, Plan de Seguridad y Privacidad de la Información y PETIC. </t>
  </si>
  <si>
    <t>Seguimiento y Publicación de planes anuales de gestión de la información.</t>
  </si>
  <si>
    <t xml:space="preserve">Verificar el seguimiento y la publicación del Plan de Tratamiento de Riesgos de Seguridad y Privacidad de la Información, Plan de Seguridad y Privacidad de la Información y PETIC. </t>
  </si>
  <si>
    <t xml:space="preserve">Actividades ejecutadas según cronograma de actividades en los planes publicados *100 / total de  actividades programadas en los Planes </t>
  </si>
  <si>
    <t xml:space="preserve">Se realizó la publicación de los planes correspondientes en https://csc.gov.co/planes-gestion-de-la-informacion/ Se realizó seguimiento de los planes y sus actividades, de las 5 actividades se culminaron 4 a satisfacción. </t>
  </si>
  <si>
    <t>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t>
  </si>
  <si>
    <t xml:space="preserve">Se realizó seguimiento de los planes y sus actividades .De las 11 actividades se culminaron 11 a satisfacción. </t>
  </si>
  <si>
    <t>Subgerente Administrativa y financiera
Auxiliar Administrativo</t>
  </si>
  <si>
    <t xml:space="preserve">*Subgerencia Administrativa y financiera 
</t>
  </si>
  <si>
    <t>Actualización, publicación y seguimiento al Plan Institucional de Archivos de la Entidad  (PINAR).</t>
  </si>
  <si>
    <t>Ejecución del PINAR</t>
  </si>
  <si>
    <t>Realizar seguimiento a las actividades propuestas en el PINAR</t>
  </si>
  <si>
    <t>Actividades ejecutadas según cronograma del PINAR  * 100 / Total de Actividades cronograma del PINAR</t>
  </si>
  <si>
    <t xml:space="preserve">Se llevó a cabo en el primer trimestre 2024 la actualización del Plan Institucional del PINAR para la vigencia 2024, https://csc.gov.co/wp-content/uploads/2024/01/1.-PLAN-INSTITUCIONAL-DE-ARCHIVOS-PINAR.pdf,  el cual se encuentra en la página www.csc.gov.co. para el respectivo seguimiento. También se realizó tres actividades programadas correspondiente  al escaneo de 60 cajas de órdenes de pago  y 188 garantías del año 2024. Se realizó el traslado de libros de nómina de años anteriores al archivo central, liberando estanterias para capacidad aproximadamente de 6 mts2; Se está trabajando con el proceso de sistemas para la adquicisión de 300 GIGAS en el servidor aproximadamente que garanticen el respaldo de la informacion del archivo, sin embargo se tiene un back up en una tera. Se esta proyectando realizar cambios en el cronograma del PINAR </t>
  </si>
  <si>
    <t>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t>
  </si>
  <si>
    <t xml:space="preserve">Una de las seis 06) actividades que se llevó a cabo en el segundo  trimestre 2024,se   ajusto y  actualizo actividades del Plan Institucional del PINAR para la vigencia 2024, https://csc.gov.co/wp-content/uploads/2024/01/1.-PLAN-INSTITUCIONAL-DE-ARCHIVOS-PINAR.pdf,  el cual se encuentra en la página www.csc.gov.co. para el respectivo seguimiento. También se realizó una segunda actividad correspondiente  al escaneo de 90 cajas de contratos ,nomina,area admnistrativa . </t>
  </si>
  <si>
    <t xml:space="preserve">Contando con colaboradores y proveedores idóneos </t>
  </si>
  <si>
    <t>Garantizar los recursos para la rentabilidad y sostenibilidad de la Entidad</t>
  </si>
  <si>
    <t>APOYO
Gestión de Recursos Fisicos</t>
  </si>
  <si>
    <t>Subgerente Administrativa y Financiera
Almacenista General</t>
  </si>
  <si>
    <t>Subgerencia Administrativa y Financiera
Almacén</t>
  </si>
  <si>
    <t>Seguimiento Plan Anual de mantenimiento de la infraetructura física  de la entidad y realizar el seguimiento de acuerdo al cronograma de actividades</t>
  </si>
  <si>
    <t xml:space="preserve">Elaborar y hacer seguimiento al Plan Anual de mantenimiento infraestructura física </t>
  </si>
  <si>
    <t>Hacer seguimiento a la elaboración y ejecución del Plan Anual de mantenimiento de la infraetructura fisica  de la Entidad. Asi como realizar el seguimiento de acuerdo al cronograma de actividades</t>
  </si>
  <si>
    <t xml:space="preserve">Número de actividades realizadas de acuedo al cronograma *100/ Número de actividades  Programadas de acuerdo al cronograma </t>
  </si>
  <si>
    <t>NA</t>
  </si>
  <si>
    <t>Cronograma de actividades</t>
  </si>
  <si>
    <t xml:space="preserve"> -</t>
  </si>
  <si>
    <t>Direccionamiento estratégico y gestión con valores para el resultado</t>
  </si>
  <si>
    <t>Planeación institucional, de fortalecimiento organizacional y simplificación del proceso.</t>
  </si>
  <si>
    <t>Para el primer trimestre del año 2024, Se socializa y se ajusta el nuevo plan de mantenimiento con su cronograma de actividades, para la presente vigencia, siguiendo los lineamientos de la nueva administración.</t>
  </si>
  <si>
    <t xml:space="preserve">Para el segundo trimestre del año en curso, se cumple con lo planeado en el cronograma: actividad 1- mantenimiento lavado de ventanales,  Actividad 2-fumigaciónes a todo el edificio y al área de archivo, actividad 4 Revisión y Mantenimiento  tejado 4 piso y actividad 8 Lavado y desinfección de tanques de almacenamiento de agua. Amparado con el contrato de servicios nº 24-0009 con la empresa DYSAP. </t>
  </si>
  <si>
    <t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t>
  </si>
  <si>
    <t>Subgerente Administrativa y Financiera
Auxiliar Administrativo</t>
  </si>
  <si>
    <t>Subgerencia Administrativa y Financiera</t>
  </si>
  <si>
    <t>Informe semestral de seguimiento a la Inspección preoperativa del parque automotor de la Entidad</t>
  </si>
  <si>
    <t>Informe de Inspección preoperativa del parque automotor de la entidad. Dos mantenimientos al año.</t>
  </si>
  <si>
    <t>Hacer seguimiento a la inspección del Plan Anual de mantenimiento del parque automotor de la entidad dos veces al año</t>
  </si>
  <si>
    <t>No. de mantenimientos realizados *100/No.de mantenimientos programados en cronograma</t>
  </si>
  <si>
    <t>Semestral</t>
  </si>
  <si>
    <t>Se realizó estudio previo  del parque  automotor. Se solicitaron cotizaciones  del 08 de marzo de 2024. Debido al cambio de Subgerente Administrativo y Financiero se  detuvo la contratación dándose inicio de la misma  a partir del  19 de abril de 2024 convalidando el diagnóstico real del parque  automotor por parte de la Gerente y Subgerente Administrativa y Financiera de la Entidad. No se llevó a cabo ningún mantenimiento a los vehículos de la Entidad por las razones expuestas.</t>
  </si>
  <si>
    <t>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t>
  </si>
  <si>
    <t>Para este segundo trimestre se  realizó cinco (  05) inspecciones Preoperativa a los siguientes vehiculos  asi: OFK-544,OFK-864,OFK-448,OSM-114,OHK-865.</t>
  </si>
  <si>
    <t>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t>
  </si>
  <si>
    <t>Elaborar y hacer seguimiento al estudio de la necesidad de compra de elementos de consumo y papelería de la entidad</t>
  </si>
  <si>
    <t xml:space="preserve">Seguimiento a la necesidad de  compra de elementos de consumo y papelería de la entidad por los diferentes procesos 
</t>
  </si>
  <si>
    <t>Satisfacer a confomidad las necesidades de elementos de consumo y papelería en los diferentes procesos de la Corporación.</t>
  </si>
  <si>
    <t>No. de solicitudes recibidas de los procesos*100 / No. de solicitudes enviadas a los procesos</t>
  </si>
  <si>
    <t>Solicitudes de las Dependencias</t>
  </si>
  <si>
    <t>Se proyecta  el estudio de necesidad de útiles de oficina, papelería y tóner requeridos para el buen funcionamiento de la parte administrativa de la entidad, con los formatos consolidados de solicitudes de elementos de almacén entregados  por las diferentes áreas de la entidad en el mes de octubre 2023.</t>
  </si>
  <si>
    <t>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t>
  </si>
  <si>
    <t>Para este segundo trimestre, cumplieron con la entrega de solicitud de elementos a almacen 4 áreas (Juridica, Subgerencia de Servicios Corporativos, Contratacion y Sistemas ).</t>
  </si>
  <si>
    <t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t>
  </si>
  <si>
    <t xml:space="preserve">Subgerencia Administrativa y Financiera
Almacén </t>
  </si>
  <si>
    <t>Actualizar semestralmente los inventarios  individuales de los funcionarios de la Entidad, los cuales deben estar firmados por el funcionario responsable.</t>
  </si>
  <si>
    <t>Inventarios de bienes muebles  individuales</t>
  </si>
  <si>
    <t>Hacer seguimiento a la actualización de inventarios  individuales de los funcionarios de la entidad.</t>
  </si>
  <si>
    <t># de  inventarios Individuales actualizados*100/ # de funcionarios entidad</t>
  </si>
  <si>
    <t xml:space="preserve"> Inventario puestos de trabajo y elementos exportado del software de inventarios por cada funcionario. </t>
  </si>
  <si>
    <t>Se comienza con la recopilación de la información de los inventarios devolutivos  funcionario por funcionario, para actualizarlos al 30 de junio 2024.</t>
  </si>
  <si>
    <t>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t>
  </si>
  <si>
    <t>Se actualiza la informacion de los inventarios devolutivos asignados a cada funcionario con base en la planta de personal activa de la Entidad, a la fecha de  30 de junio de 2024.se actualizan 50 inventarios de la base inicial de 57 funcionarios activos.</t>
  </si>
  <si>
    <t xml:space="preserve">Verificar los elementos de consumo y devolutivos de acuerdo al reporte generado por Novasoft frente al fisico. </t>
  </si>
  <si>
    <t>Reportes de Elementos  de consumo y devolutivos</t>
  </si>
  <si>
    <t xml:space="preserve">Verificar los elementos de consumo y devolutivos de acuerdo al reporte generado por Novasoft frente al físico. </t>
  </si>
  <si>
    <t>No de reportes generados*100/ # de reportes programados.</t>
  </si>
  <si>
    <t xml:space="preserve">Reporte del software
Informe de consumos y devolutivos </t>
  </si>
  <si>
    <t>Se realiza mes a mes (enero-febrero y marzo 2024) la respectiva interface de almacén general y se envía al área de contabilidad para su trámite pertinente.</t>
  </si>
  <si>
    <t>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t>
  </si>
  <si>
    <t>Se cumple con el propósito del indicador realizando mes a mes la respectiva interface de almacén general (abril, mayo y junio 2024) y se envía al área de contabilidad y presupuesto para el trámite correspondiente.</t>
  </si>
  <si>
    <t>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t>
  </si>
  <si>
    <t>Elaborar y/o actualizar el Plan institucional de Gestión Ambiental y publicarlo en la página web de la Entidad</t>
  </si>
  <si>
    <t>Seguimiento al PIGA</t>
  </si>
  <si>
    <t>Elaborar y/o actualizar el PIGA de la Entidad, así como realizar el respectivo seguimiento de acuerdo al cronograma de actividades.</t>
  </si>
  <si>
    <t xml:space="preserve">Número de actividades realizadas de acuerdo al cronograma *100/ Número de actividades  Programadas de acuerdo al cronograma </t>
  </si>
  <si>
    <t>Número de actividades del cronograma</t>
  </si>
  <si>
    <t>Se actualizo el “plan Institucional de gestión ambiental"  PIGA de la entidad en su normograma y su cronograma de actividades para la presente vigencia.</t>
  </si>
  <si>
    <t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t>
  </si>
  <si>
    <t>En el segundo trimestre se da cumplimiento a los items 1,3,7,10 y 11 del cronograma de actividades del PIGA, mediante campañas de concientizacion enviadas a los correos intitucionales de todos los funcionarios de la entidad los dias 8 de abril y 8 de mayo del 2024.</t>
  </si>
  <si>
    <t>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t>
  </si>
  <si>
    <t>Potencializar el talento humano con el fin de fortalecer sus competencias</t>
  </si>
  <si>
    <t>APOYO
Gestión del Talento Humano</t>
  </si>
  <si>
    <t>Subgerente Administrativa y Financiera
Profesional Universitario TH</t>
  </si>
  <si>
    <t>*Subgerencia Administrativa y Financiera. 
Oficina de TH</t>
  </si>
  <si>
    <t xml:space="preserve">Elaborar, implementar y realizar seguimiento el Plan Institucional de Capacitación  (PIC) para los funcionarios de la CSC </t>
  </si>
  <si>
    <t>Ejecutar el Plan Institucional de Capacitación.</t>
  </si>
  <si>
    <t>Ejecutar y hacer seguimiento a las capacitaciones previstas en el cronograma de actividades</t>
  </si>
  <si>
    <t xml:space="preserve">
No. de actividades ejecutadas*100/ No. de actividades programadas según cronograma</t>
  </si>
  <si>
    <t>Plan institucional de capacitación</t>
  </si>
  <si>
    <t>Talento humano y gestión del conocimiento</t>
  </si>
  <si>
    <t>Talento humano e integridad y gestión del conocimiento y la innovación</t>
  </si>
  <si>
    <t>Para el primer trimestre de 2024 se elaboró el Plan de Capacitación y el 31 de enero de 2024 fue publicado en la página Web de la CSC. No se realizaron capacitaciones ya que por cambio de gobierno departamental y armonización presupuestal se ajustó el cronograma, el cual fue aprobado el 29 de abril de 2024.</t>
  </si>
  <si>
    <t>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t>
  </si>
  <si>
    <t xml:space="preserve">Se llevó a cabo la inducción a los funcionarios que ingresaron nuevos a la entidad, ocupando los cargos de carrera administrativa y libre nombramiento. 
Se inscribieron algunos funcionarios en la capacitación de Integridad, Transparencia y Lucha Contra la Corrupcion. </t>
  </si>
  <si>
    <t>Elaborar y realizar el seguimiento al Plan de Bienestar e incentivos de la CSC ajustado a los lineamientos normativos, conceptuales y dimensiones estratégicas adoptadas como resultado del diagnóstico institucional.</t>
  </si>
  <si>
    <t xml:space="preserve"> Realizar seguimiento al cronograma de actividades de bienestar </t>
  </si>
  <si>
    <t xml:space="preserve">Ejecutar el total de las actividades señaladas en el plan de bienestar e incentivos de la CSC. </t>
  </si>
  <si>
    <t xml:space="preserve">Actividades ejecutadas según cronograma *100 / Actividades programadas según cronograma  </t>
  </si>
  <si>
    <t>Mi MIPG se articula y complementa con este sistema, además de los sistemas de servicio al ciudadano, gestión ambiental y de seguridad de la información entre otros.</t>
  </si>
  <si>
    <t xml:space="preserve">Para el primer trimestre de 2024 se ejecutaron cuatro actividades: Compensatorio Semana Santa, Celebracion cumpleaños y dia compensatorio para los funcionarios por dicho evento; y  desayuno del dia de la mujer y del dia del hombre. </t>
  </si>
  <si>
    <t>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t>
  </si>
  <si>
    <t>Durante el segundo trimestre de 2024 se ejecutaron nueve  (09) actividades: Actividad reunion copa Gobernacion 2024,  dia de la familia (entrega de boletas de cine), visita a la Licorera de Cundinamarca, actividad de pre-pensionados, Compensatorios por cumpleaños con entrega de obsequio, birgada de bienestar con Recordar (suplementos alimenticios y masajes),  socializacion código de Integridad, celebracion dia de la Secretaria y entrega obsequio dia de la Madre  y ; de acuerdo con el cronograma de actividades proporcional al trimestre en medición.</t>
  </si>
  <si>
    <t xml:space="preserve">Contando con colaboradores y proveedores idóneos 
y
Articular los requisitos del
Sistema de Seguridad y Salud </t>
  </si>
  <si>
    <t>Potencializar el talento humano con el fin de fortalecer sus competencias
y
Generar acciones de mejora continua para optimizar los procesos</t>
  </si>
  <si>
    <t>Subgerente Administrativa y Financiera
Profesional Universitario SGSST</t>
  </si>
  <si>
    <t>Ejecutar del Programa de Seguridad y Salud en el Trabajo en CSC de conformidad con las disposiciones normativas vigentes.</t>
  </si>
  <si>
    <t>Ejecutar y hacer seguimiento al cronograma de actividades señaladas  en el programa SGSST</t>
  </si>
  <si>
    <t>Articular acciones con la ARL y COPASS de la Entidad para garantizar la ejecución del programa SGSST al interior de la entidad.</t>
  </si>
  <si>
    <t>Durante el primer trimestre se realizaron las siguientes actividades programadas en el plan de Seguridad y Salud en el Trabajo:  aplicación de encuesta de perfil sociodemográfico, taller de desórdenenes musculo-esqueléticos (pausas activas), capacitación COPASST detección de peligros,  capacitación funcionarios y contratistas CUIDEMOS NUESTRA COLUMNA VERTEBRAL,  HABITOS Y ESTILOS DE VIDA SALUDABLE,  cumpliendo con lo ejecutado.</t>
  </si>
  <si>
    <t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t>
  </si>
  <si>
    <t>En este trimestre se programaron 10 actividades de las cuales se ejecutaron 9; las actividades ejecutadas fueron las siguientes:  Convocatoria Comité de Convivencia, medición niveles de iluminación, taller de desórdenes musculo-esqueléticos (pausas activas), capacitación COPASST investigación de incidentes y accidentes,  capacitación Comité de Convivencia roles y funciones,  capacitación funcionarios Liderazgo y Relaciones Sociales en el Trabajo,  estilos de vida saludable,  capacitación brigadistas Concientización y compromiso de ser birgadista, capacitación funcionarios en la Sala Amiga de la Familia Lactante (SAFL). La actividad que no se ejecutó fué la actualización de la matriz de peligros debido a problemas en la plataforma de la ARL para realizar la designación del proveedor, se tiene proyectado realizarla en el tercer trimestre 2024.</t>
  </si>
  <si>
    <t>Subgerente Administrativa y Financiera
Técnico operativo TH</t>
  </si>
  <si>
    <t>Seguimiento al cumplimiento del cronograma de liquidación de nómina de funcionarios</t>
  </si>
  <si>
    <t xml:space="preserve">Liquidación de Nómina </t>
  </si>
  <si>
    <t>Aplicación correcta y oportuna de novedades en liquidación de nómina</t>
  </si>
  <si>
    <t>Novedades presentadas dentro de los tiempos del cronograma / Total de novedades atendidas en el periodo</t>
  </si>
  <si>
    <t xml:space="preserve">Talento humano </t>
  </si>
  <si>
    <t>Talento humano e integridad</t>
  </si>
  <si>
    <t xml:space="preserve">El seguimento a la nómina de acuerdo con el cronograma establecido mediante memorando  No. 002 de  fecha  25 de enero 2024 se fijaron las siguientes fechas de ejecución: Enero 31, febrero 26 y marzo 26 de 2024, lo cual se cumplió mensualmente durante el primer trimestre 2024. Para el primer trimestre 2024 fueron entregadas 10 incapacidades en total, de las cuales 3 fueron allegadas después de haberse liquidado la nómina, razón por la cual no fueron ingresadas dentro de los términos establecidos generando así un cumplimiento del 17,5% de la meta establecida. </t>
  </si>
  <si>
    <t>El seguimiento a la nómina durante el primer trimestre de 2024 se realizó según lo planificado, cumpliendo con las fechas establecidas. No se presentaron solicitudes que afentaran el pago de acuerdo a lo programado.</t>
  </si>
  <si>
    <t xml:space="preserve">El seguimiento a la nómina de acuerdo con el cronograma establecido mediante memorando  No. 002 de  fecha  25 de enero 2024 mediante el cual se fijaron las siguientes fechas de ejecución: abril 26, mayo 27 y junio 26 de 2024, lo cual se cumplió mensualmente durante el segundo trimestre 2024. Para el segundo trimestre 2024 fueron entregadas e ingresadasa al sistema, ocho (8) incapacidades. Por otra parte, se registron 14 ingresos y 10 retiros de personal sumando un total de 32 novedades. Se generó un cumplimiento del 25% de la meta establecida. </t>
  </si>
  <si>
    <t>Subgerente Administrativa y Financiera
Tecnico operativo TH</t>
  </si>
  <si>
    <t>*Subgerencia Administrativo y Financiero. 
Oficina de TH</t>
  </si>
  <si>
    <t>Realizar trámite de recobro de incapacidades ante las EPSs</t>
  </si>
  <si>
    <t>Reporte mensual de recobros ante EPS.</t>
  </si>
  <si>
    <t>Hacer seguimiento al trámite de recobro de incapacidades ante las EPSs</t>
  </si>
  <si>
    <t xml:space="preserve">Número de incapacidades trámitadas ante EPS *100/ Número de incapacidades radicadas en oficina </t>
  </si>
  <si>
    <t>Se recibieron dos (02) incapacidades médicas para recobro en el mes de enero, dos (02) en febrero  y tres (03) en marzo de 2024;  las cuales se radicaron debidamente ante las EPS y ARL correspondientes.</t>
  </si>
  <si>
    <t>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t>
  </si>
  <si>
    <t>Se recibieron ocho (08) incapacidades médicas para recobro, en el mes de abril cuatro (4) en mayo dos (02) y en junio de 2024 dos(2), las cuales se radicaron debidamente ante las EPS y ARL correspondientes.</t>
  </si>
  <si>
    <t>Subgerente Administrativa y Financiera
Profesional Especializado</t>
  </si>
  <si>
    <t>Realizar las evaluaciones de desempeño y de rendimiento laboral de la CSC</t>
  </si>
  <si>
    <t>Matriz consolidación de seguimiento a evaluaciones de desempeño</t>
  </si>
  <si>
    <t>Seguimiento a las evaluaciones de desempeño y de rendimiento laboral de la CSC</t>
  </si>
  <si>
    <t xml:space="preserve">No. de seguimientos realizados*100 / número de seguimientos requeridos
</t>
  </si>
  <si>
    <t xml:space="preserve">Se  realizó el acompañamiento a cada Jefe para la calificación definitiva y la concertación de los objetivos correspondientes a los funcionarios de cada área y se solicitó mediante correo a los funcionarios  de carrera subir a la plataforma de la CNSC (EDL)  las respectivas evidencias.  La evaluación a los funcionarios se lleva a cabo en el mes de enero y en el mes de julio de cada año. </t>
  </si>
  <si>
    <t>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t>
  </si>
  <si>
    <t>El registro de 1 seguimiento para este trimestre es atípico y se dejó establecido, como quiera que se previo el ingreso de personal sujeto a evaluación de desempeño a partir del  mes de marzo de 2024, con ocasión de la expedición de listas de elegibles, lo cual genera este proceso para evaluación de periodo de prueba.</t>
  </si>
  <si>
    <t>Realizar seguimiento al autodiagnóstico de Talento Humano fortaleciendo las rutas con menor calificación</t>
  </si>
  <si>
    <t>Seguimiento Autodiagnóstico Talento Humano</t>
  </si>
  <si>
    <t>Fortalecer la ruta del autodiagnostico de talento humano con menor calificación</t>
  </si>
  <si>
    <t>Resultado de la calificación final del autodiagnóstico &gt; Resultado de la calificación del autodiagnostico del año anterior (79.5%)</t>
  </si>
  <si>
    <t>Calificación</t>
  </si>
  <si>
    <t>79.5</t>
  </si>
  <si>
    <t>Autodiagnóstico 2023</t>
  </si>
  <si>
    <t>&gt;80</t>
  </si>
  <si>
    <t>Se realizó la medición de autodiagnóstico en el  último trimestre de 2023 para tener en cuenta la medición  para el FURAG del 2024.</t>
  </si>
  <si>
    <t>Para este trimestre el indicador no tenía nada programado, sin embargo, se evidencia que los puntajes obtenidos en la Ruta del Servicio y la Ruta de la Felicidad indican que hay oportunidades significativas para mejorar en estas áreas.</t>
  </si>
  <si>
    <t>Se verifica cronograma de capacitación donde se evidencian reinducciones para el tercer y cuarto trimestre. (ver cronograma de capacitacion)</t>
  </si>
  <si>
    <t>Subgerente Administrativa y Financiera
Profesional Especializado
Asesor de Gerencia
(Grupo de Planeación)</t>
  </si>
  <si>
    <t>*Subgerencia Administrativa y Financiera. 
Oficina de TH
Gerencia
Planeación</t>
  </si>
  <si>
    <t>Suscripción de los acuerdos de gestión y seguimiento a su cumplimiento</t>
  </si>
  <si>
    <t xml:space="preserve">Acuerdos de Gestión </t>
  </si>
  <si>
    <t>Seguimiento al cumplimiento de los acuerdos de gestión suscritos</t>
  </si>
  <si>
    <t>No. de seguimientos realizados *100/ Seguimientos programados</t>
  </si>
  <si>
    <t>Se realizó seguimiento a los acuerdos de gestión al  segundo semestre de 2023, la evidencia está en  la página de la entidad. En cuanto al año  2024 dichos acuerdos están en proceso de elaboración y  el seguimiento se realiza semestralmente.</t>
  </si>
  <si>
    <t>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t>
  </si>
  <si>
    <t>Se verificó que se hubieran suscrito los acuerdos de gestión para la vigencia 2024, los cuales reposan en el área de planeación y se encuentran pendientes de publicar por pagina WEB de la Entidad.</t>
  </si>
  <si>
    <t>Asignando los recursos necesarios</t>
  </si>
  <si>
    <t>Apoyar a la entidad en la consolidación oportuna de la información Presupuestal y Contable.</t>
  </si>
  <si>
    <t>APOYO
Gestión Financiera</t>
  </si>
  <si>
    <t>*Subgerente Administrativo y Financiero. 
*Director Técnico de Contabilidad y Presupuesto</t>
  </si>
  <si>
    <t>Subgerencia Administrativa y Financiera
Dirección de Presupuesto y Contabilidad</t>
  </si>
  <si>
    <t xml:space="preserve">Generar información financiera a la alta gerencia necesaria para la Administración del Presupuesto de manera eficiente. </t>
  </si>
  <si>
    <t xml:space="preserve">Porcentaje de ejecución presupuesto de Ingresos </t>
  </si>
  <si>
    <t>Verificar el comportamiento del presupuesto en cuanto al recaudo con el fin de determinar  el porcentaje  en cada trimestre</t>
  </si>
  <si>
    <t>Valor Recaudado Trimestre  / Valor Proyectado en el trimestre * 100</t>
  </si>
  <si>
    <t>Gestión presupuestal - eficiencia del gasto público</t>
  </si>
  <si>
    <t>De acuerdo al PAC del año 2024 se tenía programado  recaudar ingresos por valor de $ 11.655.688.070.00 y solo se recaudò presupuestalmente la suma de $ 8.802.079.275, lo que significa que no se cumplió el tope de recaudo durante el primer trimestre 2024.</t>
  </si>
  <si>
    <t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</si>
  <si>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De acuerdo al PAC del año 2024 se tenía programado  recaudar ingresos por valor de $ 12.080.971.477 y solo se recaudò presupuestalmente la suma de $ 10.075.361.638, lo que significa que no se cumplió el tope de recaudo durante el segundo trimestre 2024,</t>
  </si>
  <si>
    <t>Porcentaje de ejecución presupuesto de Gastos</t>
  </si>
  <si>
    <t>Verificar el comportamiento del presupuesto en cuanto al gasto con el fin de determinar  el porcentaje  en cada trimestre</t>
  </si>
  <si>
    <t>Valor Ejecutado gastos Trimestre  / Valor Proyectado gastos en el trimestre * 100</t>
  </si>
  <si>
    <t>De acuerdo con el PAC del 2024 se tenía programado ejecutar gastos por valor de $ 11.655.688.070.00 y solo se ejecutó durante el primer trimestre  la suma de $ 4.293.116.387,83 lo que significa que hubo austeridad en la ejecución del gasto durante el primer trimestre 2024.</t>
  </si>
  <si>
    <t>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t>
  </si>
  <si>
    <t>De acuerdo con el PAC del 2024 se tenía programado ejecutar gastos  por valor de $  12.080.971.477 y solo se ejecutò durante el primer trimestre  la suma de $ 4.866.735.668, lo que significa que hubo austeridad en la ejecución del gasto durante el segundo trimestre 2024.</t>
  </si>
  <si>
    <t xml:space="preserve">Generar y reportar la Información financiera y presupuestal a los entes de control y de fiscalización de manera oportuna a través de las plataformas oficiales. </t>
  </si>
  <si>
    <t xml:space="preserve"> Elaboración de Informes Contables y Presupuestales rendidos a los entes de control con periodicidad  - trimestral /Semestral y anual</t>
  </si>
  <si>
    <t>Reportar número de Informes tanto contables como presupuestales trimestralmente</t>
  </si>
  <si>
    <t xml:space="preserve">No. de  informes presentados trimestralmente / No. de informes proyectados trimestralmente  * 100
</t>
  </si>
  <si>
    <t>Calendario Tributario</t>
  </si>
  <si>
    <t>Se remitieron informes a los entes de control tales como el Chip/Cuipo/CGN/Contraloría Departamental /Secretaría de Hacienda/Planeación Departamental; correspondiente al primer trimestre del  2024.</t>
  </si>
  <si>
    <t>La remisión de informes a los entes de control durante el primer trimestre de 2024 se ha realizado de manera adecuada y oportuna, cumpliendo con los requisitos establecidos y asegurando la transparencia y responsabilidad en la gestión de la entidad.</t>
  </si>
  <si>
    <t>Se remitieron informes a los entes de control tales como el Chip/Cuipo/CGN/Contraloría Departamental /Secretaría de Hacienda/Planeación Departamental; correspondiente al segundo trimestre del  2024.</t>
  </si>
  <si>
    <t xml:space="preserve">Elaborar las conciliaciones bancarias  que se ajusten a los procedimientos establecidos  institucionalmente. </t>
  </si>
  <si>
    <t>Conciliaciones Bancarias</t>
  </si>
  <si>
    <t>Reflejar la razonabilidad de los movimientos bancarios en los libros contables.</t>
  </si>
  <si>
    <t>No. de conciliaciones Bancarias /No. de conciliaciones depuradas mensualmente * 100</t>
  </si>
  <si>
    <t>Porcentual</t>
  </si>
  <si>
    <t>Las conciliaciones bancarias se realizan mensualmente con fecha de corte al mes inmediatamente anterior en sinergia con el área de tesorería de la Entidad.</t>
  </si>
  <si>
    <t>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t>
  </si>
  <si>
    <t>Las conciliaciones bancarias se realizan mensualmente con fecha de corte al mes inmediatamente anterior en sinergia con el área de Tesorería de la Entidad.</t>
  </si>
  <si>
    <t>*Subgerente Administrativo y Financiero. 
*Tesorero General</t>
  </si>
  <si>
    <t>Subgerencia Administrativa y Financiera
Tesorería</t>
  </si>
  <si>
    <t xml:space="preserve">Registrar en el sistema los recaudos provenientes de las diferentes líneas de crédito con que cuenta la entidad, para garantizar el proceso de desgloce y conciliaciones </t>
  </si>
  <si>
    <t>Registro de ingresos mensual</t>
  </si>
  <si>
    <t xml:space="preserve">Suministrar información de recaudo para la toma de determinaciones administrativas y financieras. </t>
  </si>
  <si>
    <t>Valor recaudo mensual / presupuesto aprobado * 100</t>
  </si>
  <si>
    <t>Resultados 2023</t>
  </si>
  <si>
    <t>PAC</t>
  </si>
  <si>
    <t>El cumplimiento del 71% del primer trimestre 2024 obedece a la diferencia entre el PAC y el Recaudo Tesoral correspondiente a la afectación que tanto los créditos rotativos como unificados representa para el presupuesto pero NO para los bancos.</t>
  </si>
  <si>
    <t>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</si>
  <si>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El cumplimiento del 20,12% del segundo trimestre 2024 obedece a la diferencia entre el PAC y el Recaudo Tesoral especialmente por la armonizacion del presupuesto y desembolso de créditos, especialmente rotativos.</t>
  </si>
  <si>
    <t xml:space="preserve">Registrar en el sistema los egresos correspondiente a las obligaciones contraidas por la entidad. </t>
  </si>
  <si>
    <t>Registro de egresos mensual</t>
  </si>
  <si>
    <t xml:space="preserve">Suministrar información de egresos para la toma de determinaciones administrativas y financieras. </t>
  </si>
  <si>
    <t>Valor egresos mensual / presupuesto aprobado * 100</t>
  </si>
  <si>
    <t>El resultado del 28% del primer trimestre 2024 obedece a que  en esta vigencia únicamente se han dado trámite a créditos desde mediados de marzo hasta mediados de abril en razón de la armonización presupuestal del departamento haciendose necesaria de manera urgente la reactivación de los mismos.</t>
  </si>
  <si>
    <t>Lograr el 6.69% de la meta, evidencia la necesidad de generar acciones correctivas para asegurar la reactivación y continuidad en el otorgamiento de los créditos con el fin de implementar la ejecución del presupuesto.</t>
  </si>
  <si>
    <t xml:space="preserve">El resultado del 9,59% en los egresos del segundo trimestre 2024 obedece al aumento en la contratación de personal y liquidación de prestaciones sociales   </t>
  </si>
  <si>
    <t>APOYO
Gestión Jurídica</t>
  </si>
  <si>
    <t>Jefe de la Oficina Jurídica</t>
  </si>
  <si>
    <t>Oficina Asesora Jurídica</t>
  </si>
  <si>
    <t xml:space="preserve">Impulsar la actividad procesal de las obligaciones que se  encuentren en cobro jurídico  entregadas a los abogados externos. </t>
  </si>
  <si>
    <t>Supervisar  la gestión jurídica  de las obligaciones entregadas a los abogados para el cobro jurídico</t>
  </si>
  <si>
    <t>Obtener a través del cobro jurídico  recursos económicos por recuperación de cartera en etapa jurídica</t>
  </si>
  <si>
    <t xml:space="preserve">Número de obligaciones  con  mínimo de una actuación procesal y/o administrativa
---------------------------------------*x 100
 Número de obligaciones entregadas a los abogados para el cobro jurídico.
</t>
  </si>
  <si>
    <t>Es el número de  obligaciones con impulso procesal</t>
  </si>
  <si>
    <t>Bimestral</t>
  </si>
  <si>
    <t>Defensa jurídica</t>
  </si>
  <si>
    <t>Durante este periodo se  ha estado en el proceso de empalme de entrega y recibo de las demandas que cursan en los diferentes juzgados,  como quiera que  el dia 20 de diciembre del 2023 se terminó  el contrato de prestacion de servicios profesionales No.22-068 de representación judicial suscrito entre la Corporación Social de Cundinamarca y la empresa Scola Abogados S.A.S, ante lo cual en el mes de enero del 2024 se inició el proceso de entrega y recibo de 2.300 obligaciones en diferentes estados procesales , ante lo cual se procedió a  cotejar y revisar uno a uno con la plataforma Novasoft para determinar si las obligaciones estan canceladas o nó  y se estaban cumpliendo o nó con  los acuerdos de pago que pudieron haber suscrito los demandados.
Es de precisar que al terminar el contrato No.22-068,  el dia 29 de diciembre  del 2023 se contrató  la representación judicial de dichos procesos con la persona natural LIZA LORETHY  LOZANO TORRES, quien suscribió el contrato No.23-105. 
Durante  el periodo comprendido entre el 1 de enero al 14 de enero del 2024  no hubo representación judicial, tan solo la dra Sandra Hoyos Acosta fue  nombrada mediante resolución No.000042 del 10 de enero del 2024, y posesionada mediante acta No.000049 del 15 de enero del 2024, quien  una vez posesionada, procedió a efectuar  un plan de contingencia  en aras  de verificar  el estado de  los diferentes procesos ante lo cual se  contrató la prestacion de servicios de apoyo a la supervisión,justamente para efectuar el seguimiento, control y vigilancia.También  durante esta gestión fueron escaneados las carpetas fisicas de los diferentes procesos con el ánimo de  entregar a la nueva empresa dicha información y que los originales  queden en custodia de  la entidad. 
El 21 de  marzo del 2024,fueron entregadas 622 poderes a  la profesional  LIZA LORETHY  LOZANO TORRES para efectuar  la representacion judicial, cuyo anexo No. 1 se allega. 
 Este contrato fue cedido el dia  16 de abril del 2024 a la empresa  MYM  ABOGADOS  S.A.S. El  dia  21 de mayo del 2024,la Oficina Asesora Juridica efectuó entrega de 1318 poderes para la representación judicial a dicha empresa.
La profesional Gloria  Cecilia Rodriguez Valencia allega informe de  gestión y 28  requerimientos, con el anexo No.2.</t>
  </si>
  <si>
    <t xml:space="preserve">Fueron entregados 1600 procesos y se les efectúo al contratista 1600 requerimientos </t>
  </si>
  <si>
    <t>APOYO
Gestión Juridica</t>
  </si>
  <si>
    <t>Realizar seguimientos mensuales a la implementación de la Politica del Plan de Prevención del Daño Antijurídico.</t>
  </si>
  <si>
    <t>Supervisión al seguimiento del daño antijurídico en el comité de Conciliación y defensa judicial</t>
  </si>
  <si>
    <t>Evitar el daño antijurídico</t>
  </si>
  <si>
    <t>Número de informes realizados / No de informes programados</t>
  </si>
  <si>
    <t>Manual de la política del daño antijuridico y sus lineamientos</t>
  </si>
  <si>
    <t>El 11 de julio del 2024 se entregará el primer informe de la gestión realizada por el Comité de Conciliación y Defensa Judicial correspondiente 
al primer semestre del 2024 
El 16 de enero del 2025 se entregará el segundo informe de la gestión realizada por el Comité de Conciliación y Defensa Judicial correspondiente 
al segundo semestre del 2024</t>
  </si>
  <si>
    <t>El presente indicador será evaluado en el segundo trimestre.</t>
  </si>
  <si>
    <t xml:space="preserve">El 10 de julio del 2024 se entregó al Comité de Conciliación y Defensa Judicial el primer informe de la gestión y de ejecución de  decisiones realizada por el mismo correspondiente al primer semestre del 2024  es decir desde el 1 de enero al 30 de junio del 2024, el cual se remite con el presente  informe y  a su vez fue aprobado en la misma fecha  por los integrantes del comité.El dia 18 de julio del 2024 fue enviado dicho informe a la Gerencia General. </t>
  </si>
  <si>
    <t>Marcar en Novasoft los casos recibidos por el Proceso de Cartera que superen los 91 días para  créditos de consumo y 151 a los créditos hipotecarios</t>
  </si>
  <si>
    <t xml:space="preserve">Marcación de los casos en estado Jurídico </t>
  </si>
  <si>
    <t>Marcar y notificar oportunamente a la Firma externa de los casos en estado Jurídico</t>
  </si>
  <si>
    <t>Número de casos marcados y enviados a la firma externa / Número de casos recibidos por el proceso de cartera</t>
  </si>
  <si>
    <t xml:space="preserve">Indicador Nuevo </t>
  </si>
  <si>
    <t xml:space="preserve">Mensual </t>
  </si>
  <si>
    <t>Este indicador fue creado el dia 29 de abril del 2024 en el El Comité Institucional de Gestión y Desempeño, motivo por el cual no se puede reportar la información solicitada, como quiera que  el indicador corresponde al primer trimestre  de la vigencia del 2024 es decir de enero a  marzo de la vigencia del 2024.
Sinembargo  el 21 de marzo del  2024,fueron entregados 622 poderes para continuar el tramite procesal  a la contratista, los cuales estan registrados en  la Plataforma Novasoft con la marcación  en juridica</t>
  </si>
  <si>
    <t>La Corporación Social de Cundinamarca mejora el Sistema de Gestión de Calidad y asegura su integración con el Modelo Integrado de Planeación y
Gestión</t>
  </si>
  <si>
    <t>PROCESO DE EVALUACIÓN
Gestión del Mejoramiento</t>
  </si>
  <si>
    <t>Jefe de oficina de control interno</t>
  </si>
  <si>
    <t>Oficina de Control Interno</t>
  </si>
  <si>
    <t xml:space="preserve">Planear y ejecutar el Plan anual de auditorías interna Integral de acuerdo al cronograma </t>
  </si>
  <si>
    <t>Ejecución del Plan Anual de Auditorías</t>
  </si>
  <si>
    <t xml:space="preserve">Cumplir con la planeación propuesta en el Plan anual de auditorías interna Integral </t>
  </si>
  <si>
    <t xml:space="preserve">Número de Auditorías realizadas *100/ Número de Auditorías programadas </t>
  </si>
  <si>
    <t>eficacia</t>
  </si>
  <si>
    <t>Plan de auditoría aprobado 2024</t>
  </si>
  <si>
    <t>Auditorías realizadas en el año 2024</t>
  </si>
  <si>
    <t xml:space="preserve"> - </t>
  </si>
  <si>
    <t>Control interno</t>
  </si>
  <si>
    <t>El Plan Anual de Auditoría para la viegencia 2024 al 2023 fue aprobado mediante Comité Institucional de Coordinación de Control Interno el 24 de Abril del 2024. el cual se encuentra publicado en la página web de la entidad. https://csc.gov.co/wp-content/uploads/2024/05/Acta-No-1-Aprobacion-del-Plan-Anual-de-Auditoria-2024-al-2023.pdf</t>
  </si>
  <si>
    <t>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t>
  </si>
  <si>
    <t>Realizar los seguimientos a los planes de mejoramiento aprobados por la Contraloría Departamental</t>
  </si>
  <si>
    <t>Planes de Mejoramiento de la Corporación Social de Cundinamarca</t>
  </si>
  <si>
    <t>Realizar los seguimientos a los Planes de Mejoramiento dando cumplimiento a los términos de la Resolución 0278 de 2021 de la Contraloría Departamental</t>
  </si>
  <si>
    <t>Número de avances al plan de mejoramiento realizados dentro del término * 100 / Número de avances al Plan de mejoramiento remitidos dentro del término.</t>
  </si>
  <si>
    <t>Plan de mejoramiento entregado en 2023</t>
  </si>
  <si>
    <t>Auditoría Integral de la Contraloría de Cundinamarca 2023</t>
  </si>
  <si>
    <t xml:space="preserve">Semestral </t>
  </si>
  <si>
    <t>Esta actividad se realiza de manera semestral por tal motivo se verá reflejeda en el segundo cuatrimestre del 2024</t>
  </si>
  <si>
    <t>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t>
  </si>
  <si>
    <t>Presentar los informes de ley  por parte de la OCI, cumpliendo con la normatividad aplicable Decreto 648  del 19 de abril  de 2017,  en materia de seguimientos  por parte de la OCI</t>
  </si>
  <si>
    <t xml:space="preserve">Cumplir con los 9 informes que debe publicar en la página web de la entidad </t>
  </si>
  <si>
    <t>Verificar el cumplimiento de la publicación y/o la presentación de los informes de ley  por parte de la OCI</t>
  </si>
  <si>
    <t xml:space="preserve">Informes publicados en la página web de la entidad  * 100 / cronograma de informes internos  </t>
  </si>
  <si>
    <t>eficiencia</t>
  </si>
  <si>
    <t>Informes de ley publicados en la pagina web</t>
  </si>
  <si>
    <t>Publicación de los informes en la página web</t>
  </si>
  <si>
    <t xml:space="preserve">trimestral </t>
  </si>
  <si>
    <t>La Oficina de Control Interno presentó  los siguientes informes de ley en el primer trimestre: Derechos de Autor, Austeridad en el gasto, Elvaluación por Dependencias 2023, Seguimiento a la matriz de riesgos, aprobación del Plan y Programa de Auditorias 2024 al 2023. Las evidencias se encuentran el página web de la entidad.</t>
  </si>
  <si>
    <t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t>
  </si>
  <si>
    <t>La Corporación Social de Cundinamarca mejora el Sistema de Gestión de Calidad y asegura si integración con el Modelo Integrado de Planeación y
Gestiónntes del MECI</t>
  </si>
  <si>
    <t>Seguimiento a los resultados de la Auditoría interna de la CSC</t>
  </si>
  <si>
    <t>Resultados de la Auditoría Interna</t>
  </si>
  <si>
    <t>Realizar  seguimiento a las acciones de mejora y correctivas de la entidad</t>
  </si>
  <si>
    <t>Número de seguimientos realizados * 100 / Número de No conformidades y observaciones</t>
  </si>
  <si>
    <t>Resultados Auditoria año anterior</t>
  </si>
  <si>
    <t xml:space="preserve">Cumplir con la normatividad vigente  </t>
  </si>
  <si>
    <t>Se solicitó via correo electronico a todas las dependencias el envio de los avances realizados a las acciones correctivas y de mejora suscritas como resultado de las auditorias internas realizadas en la vigencia 2023, asi como tambien se les realizó seguimiento desde el comité Institucional de Coordinacion de Control Interno.</t>
  </si>
  <si>
    <t>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t>
  </si>
  <si>
    <t>Realizar Campañas de Autocontrol que armonicen la 7ma dimensión de MIPG</t>
  </si>
  <si>
    <t>Campañas de Autocontrol al año</t>
  </si>
  <si>
    <t xml:space="preserve">Sensibilizar a la CSC con Campañas de Autocontrol (mínimo 4). </t>
  </si>
  <si>
    <t>Número de campañas de autocontol realizadas  * 100 /Número de campañas de autocontrol programadas.</t>
  </si>
  <si>
    <t>el numero de campañas realizadas en el 2023</t>
  </si>
  <si>
    <t>Se envió la primera campaña de auto control a los correos de todos los correos de la entidad el día 23 de febrero del 2024. Se adjunta pantallazo.</t>
  </si>
  <si>
    <t>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t>
  </si>
  <si>
    <t>Realizar seguimiento a la plataforma SIA OBSERVA</t>
  </si>
  <si>
    <t>Seguimiento a la plataforma SIA OBSERVA y publicado en la pagina de la CSC</t>
  </si>
  <si>
    <t>Hacer seguimientos a los procesos contractuales subidos en la plataforma SIA OBSERVA</t>
  </si>
  <si>
    <t>No. Seguimiento a los contratos reportados *100/No. De contratos reportados</t>
  </si>
  <si>
    <t>Primer seguimiento año 2023</t>
  </si>
  <si>
    <t xml:space="preserve">Números de contratos elaborados y ejecutados hasta la fecha </t>
  </si>
  <si>
    <t>Se realizó revisión a la plataforma SIA observa de lo cual se deja pantallazo con las respectivas de recomendación a la oficina de contratación. Se adjunta pantallazo.</t>
  </si>
  <si>
    <t>El grupo de Planeación como segunda línea de defensa, no logro evidenciar los seguimientos realizados por la oficina de Control Interno a esta plataforma, teniendo en cuenta que con corte al 12 de enero de 2024, no se encuentran evidencias de los mismos en la siguiente ruta de la calidad: \\Mainserver2\sgc\01_PROCESOS ESTRATEGICOS\DIRECCIONAMIENTO ESTRATÉGICO\05_PLANES\PLAN DE ACCION\2023\EVIDENCIAS\2. TRIMESTRE\13. GESTION DEL MEJORAMIENTO</t>
  </si>
  <si>
    <t>Procesos</t>
  </si>
  <si>
    <t>Plan de acción 2023</t>
  </si>
  <si>
    <t xml:space="preserve">Direccionamiento Estrategico </t>
  </si>
  <si>
    <t>Atención al Cliente</t>
  </si>
  <si>
    <t>Bienestar</t>
  </si>
  <si>
    <t>Crédito y Cartera</t>
  </si>
  <si>
    <t>Gestión Contractual</t>
  </si>
  <si>
    <t>Gestión de la Información</t>
  </si>
  <si>
    <t xml:space="preserve">Gestión de Recursos Físicos </t>
  </si>
  <si>
    <t>Gestión del Talento Humano</t>
  </si>
  <si>
    <t>Gestión Financiera</t>
  </si>
  <si>
    <t>Gestión Jurídica</t>
  </si>
  <si>
    <t xml:space="preserve">Gestion del mejoramiento </t>
  </si>
  <si>
    <t xml:space="preserve">Cumplimiento del Plan de Acción </t>
  </si>
  <si>
    <t>Cumplimiento en % 1er trimestre</t>
  </si>
  <si>
    <t>Cumplimiento en % 2do trimestre</t>
  </si>
  <si>
    <t>Cumplimiento % en 3er trimestre</t>
  </si>
  <si>
    <t>Cumplimiento % en 4to trimestre</t>
  </si>
  <si>
    <t>Total al 31 diciembre-2023</t>
  </si>
  <si>
    <t>PROCESO DE DIRECCIONAMIENTO ESTRATEGICO</t>
  </si>
  <si>
    <t>PLANEACIÓN</t>
  </si>
  <si>
    <t xml:space="preserve">Nombre de la actividad </t>
  </si>
  <si>
    <t>1er trimestre</t>
  </si>
  <si>
    <t>2do trimestre</t>
  </si>
  <si>
    <t>3er trimestre</t>
  </si>
  <si>
    <t>4to trimestre</t>
  </si>
  <si>
    <t>Cumplimiento a diciembre del 2024</t>
  </si>
  <si>
    <t>Seguimiento 1er trimestre</t>
  </si>
  <si>
    <t>Seguimiento 2do trimestre</t>
  </si>
  <si>
    <t>Seguimiento 3er trimestre</t>
  </si>
  <si>
    <t>Seguimiento 4to trimestre</t>
  </si>
  <si>
    <t>Cumplimiento x trimestre</t>
  </si>
  <si>
    <t>PROCESO DE ATENCIÓN AL CLIENTE</t>
  </si>
  <si>
    <t>PROCESO DE BIENESTAR</t>
  </si>
  <si>
    <t>OBSERVACIONES Y RECOMENDACIONES</t>
  </si>
  <si>
    <t>1er. trimestre</t>
  </si>
  <si>
    <t>2do. trimestre</t>
  </si>
  <si>
    <t>3er. trimestre</t>
  </si>
  <si>
    <t>4to. trimestre</t>
  </si>
  <si>
    <t>PROCESO DE CRÉDITO Y CARTERA</t>
  </si>
  <si>
    <t>PROCESO DE GESTIÓN CONTRACTUAL</t>
  </si>
  <si>
    <t>PROCESO DE GESTIÓN DE LA INFORMACIÓN</t>
  </si>
  <si>
    <t>PROCESO DE GESTIÓN DE RECURSOS FÍSICOS</t>
  </si>
  <si>
    <t>PROCESO DE GESTIÓN DE TALENTO HUMANO</t>
  </si>
  <si>
    <t>PROCESO DE GESTIÓN FINANCIERA</t>
  </si>
  <si>
    <t>PROCESO DE GESTIÓN JURÍDICA</t>
  </si>
  <si>
    <t>PROCESO DE GESTION DEL MEJORAMIENTO</t>
  </si>
  <si>
    <t>Cumplimiento a diciembre del 2023</t>
  </si>
  <si>
    <t>Se realizó soporte de mantenimiento correctivo a los equipos de la red y soporte a los usuarios. Se encuentran documentados 8 requerimientos a novasoft</t>
  </si>
  <si>
    <t>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t>
  </si>
  <si>
    <t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t>
  </si>
  <si>
    <t>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t>
  </si>
  <si>
    <t>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t>
  </si>
  <si>
    <t>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t>
  </si>
  <si>
    <t>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t>
  </si>
  <si>
    <t>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t>
  </si>
  <si>
    <t>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t>
  </si>
  <si>
    <t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</si>
  <si>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t>
  </si>
  <si>
    <t>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</si>
  <si>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Lograr el 9.59% de la meta, evidencia la necesidad de generar acciones correctivas para asegurar la reactivación y continuidad en el otorgamiento de los créditos con el fin de implementar la ejecución del presupuesto.</t>
  </si>
  <si>
    <t>El Plan Anual de Auditoría 2024, vigencia auditada 2023, fue aprobado mediante Comité Institucional de Coordinación de Control Interno el 24 de Abril del 2024, el cual inicia en el mes de julio 2024.</t>
  </si>
  <si>
    <t>El 11 de junio de 2024 se presentó a la Contraloria de Cundinamarca el informe semestral de avance Plan de Mejoramiento - auditoría de cumplimiento vigencia 2022. Se adjunta evidencia.</t>
  </si>
  <si>
    <t xml:space="preserve">La OCI no subió el informe de PQRS debido a que la Oficina de Atención al Cliente no presentó la información respectiva para el cargue de dicha información en cabeza de Wilson Collazos. </t>
  </si>
  <si>
    <t>El seguimiento quedó plasmado desde las auditorías internas que se realizaron de acuerdo al cronograma de Auditorías aprobado mediante 2024.</t>
  </si>
  <si>
    <t>Se realiza el envío de la segunda campaña de autocntrol en el tercer trimestre del 2024</t>
  </si>
  <si>
    <t>Se realizó revisión a la plataforma SIA observa, se deja pantallazo con las respectivas recomendación a la oficina de contratación. Se adjunta pantallazo.</t>
  </si>
  <si>
    <t>En este trimestre, no se llevó a cabo el seguimiento de este indicador, ya que las auditorías están programadas para iniciar el 16 de julio, conforme al Plan aprobado. Por lo tanto, el seguimiento correspondiente se realizará en el próximo trimestre.</t>
  </si>
  <si>
    <t>El indicador presenta un cumplimiento del 8.33% para el primer trimestre. Se evidencia seguimiento en el mes de enero. Se sugiere al proceso generar alertas en diferentes dias de cada mes para que se cumpla el objetivo del indicador.</t>
  </si>
  <si>
    <t>El indicador presenta un cumplimiento del 16.67% para el segundo trimestre. Se evidencia seguimiento en los meses de abril y mayo. Se sugiere al proceso generar alertas en diferentes dias de cada mes para que se cumpla el objetivo del indicador.</t>
  </si>
  <si>
    <t>En el Segundo trimestre del 2024 se entregaron 440  kits  de elementos  publicitarios,  a docentes y funcionarios  del departamento de Cundinamarca, con el propósito de crear espacios  para el posicionamiento de la  Entidad y apoyar al PLAN DE DESARROLLO "MÁS QUE UN PLAN"en  beneficio de nuestros  usuarios.  Cumpliendo un 49 % de la meta esperada. Igualmente  se inició la aplicación de encuesta para conocer las necesidades de Bienestar y Capacitacion de los afiliados.</t>
  </si>
  <si>
    <t>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t>
  </si>
  <si>
    <t>En el segundo trimestre del 2024 se realizaron  visitas a tres  Entidades del Departamento  ( La Corporación  Autónoma  regional de Cundinamarca CAR,  Empresa de Licores de Cundinamarca y docentes de la  Secreatia de Educación en Bellavista. No se ha cumplido la meta porque  aún no se ha realizado contratacion de asesores comerciales.</t>
  </si>
  <si>
    <t>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t>
  </si>
  <si>
    <t>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t>
  </si>
  <si>
    <t>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t>
  </si>
  <si>
    <t>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t>
  </si>
  <si>
    <t>1 MER TRIM</t>
  </si>
  <si>
    <t>2DO TRIM</t>
  </si>
  <si>
    <t>Durante los meses de abril, mayo y junio de 2024, la Corporación Social de Cundinamarca (CSC) llevó a cabo un proceso de medición de satisfacción del usuario mediante encuestas aplicadas a quienes interactuaron con sus trámites y servicios. A continuación, un resumen detallado de los resultados:
Abril: Se encuestó a 60 usuarios, siendo los servicios más solicitados: Información de créditos (20 solicitudes), radicación de créditos (11) y asesoría (10). Esto refleja una clara prioridad de los usuarios por los servicios relacionados con la gestión crediticia. Los encuestados provenían principalmente de Bogotá (18), Soacha (5) y Zipaquirá (5).
Conclusiones mes de abril:
El análisis de los resultados de las encuestas muestra que el nivel de satisfacción de los usuarios y afiliados es predominantemente alto, con el 98.8% de los encuestados indicando estar "muy satisfechos" o "satisfechos". Este dato refuerza el buen desempeño de la entidad en la calidad de sus servicios.
Más del 95% de los comentarios recogidos de los usuarios y afiliados destacan felicitaciones y agradecimientos, lo que subraya la efectividad en la atención prestada. Sin embargo, se han identificado áreas de oportunidad en aspectos críticos como los tiempos de espera en la atención, la calidad del servicio ofrecido por algunos funcionarios, y la funcionalidad de las herramientas tecnológicas utilizadas para los trámites.
Aunque se detectó que la totalidad de los usuarios encuestados están satisfechos con el producto recibido, el 1% de insatisfacción registrado en el tiempo de espera sugiere la necesidad de una evaluación más exhaustiva de los procesos operativos para asegurar una experiencia homogénea y de alta calidad para todos los usuarios.
Mayo: Un total de 25 usuarios participaron en las encuestas. Los servicios más demandados fueron la radicación de créditos (8 solicitudes) y afiliaciones (5). Este mes también destacó la importancia de los trámites relacionados con los créditos. Los usuarios encuestados provinieron mayoritariamente de Cajicá (6), Bogotá (4) y Fusagasugá (2).
Conclusiones mes de mayo:
El alto nivel de satisfacción del 75% de los encuestados confirma que los procesos de atención están funcionando adecuadamente. Sin embargo, las calificaciones de "aceptable" y "muy insatisfecho" indican que es necesario revisar áreas específicas, como los tiempos de atención y el soporte informático, para garantizar una experiencia más uniforme y satisfactoria para todos los usuarios.
Junio: Se encuestó a 24 usuarios, siendo los servicios más solicitados: radicación de créditos (10 solicitudes) e información de créditos (8). La demanda de estos servicios refuerza la necesidad de mejorar los procesos crediticios. Los encuestados provenían de Zipaquirá (3), Tenjo (2) y otros municipios.
Conclusiones mes de junio:
El nivel de satisfacción del 92% refleja que los procesos de atención al cliente están cumpliendo con las expectativas de la mayoría de los usuarios, lo que es un indicador positivo de la eficiencia del sistema. Sin embargo, el 8% de calificaciones "aceptables" pone en evidencia áreas de mejora, especialmente en lo que respecta a tiempos de respuesta y soporte tecnológico. Esto sugiere que, aunque el servicio es generalmente bien recibido, la optimización en estos aspectos podría elevar aún más la calidad y uniformidad de la experiencia del usuario, reduciendo posibles puntos de fricción.</t>
  </si>
  <si>
    <t>En el plan de medios del segundo trimestre de 2024, se plantearon un total de 8 actividades estratégicas orientadas a fortalecer la atención al cliente y consolidar la presencia de la Corporación Social de Cundinamarca (CSC) en la región. De estas actividades, se lograron ejecutar 7 con éxito durante los meses de abril, mayo y junio, demostrando un firme compromiso con la calidad y eficacia en la gestión de la comunicación y el servicio al cliente.
Las actividades realizadas incluyeron:
1.	Ajuste y diseño del plan de medios: Se revisó y actualizó el plan de medios para alinear los canales de comunicación con los objetivos estratégicos de la corporación, asegurando un enfoque integral y efectivo en la difusión de mensajes.
2.	Campaña de posicionamiento: Se implementó una campaña de posicionamiento de la CSC en alianzas estratégicas con la Lotería de Cundinamarca y la CAR, incrementando el reconocimiento y reputación de la corporación entre sus públicos clave.
3.	Aplicación de encuestas: Se desarrolló una encuesta dirigida a los usuarios para evaluar la calidad del servicio y la satisfacción con los productos ofrecidos, lo que permitió recoger datos relevantes para mejorar la atención al cliente.
4.	Diseño y producción de material informativo: Se diseñó y produjo material para los diferentes canales de información, incluyendo contenido digital e impreso, con el objetivo de mejorar la visibilidad de los servicios y productos de la CSC.
5.	Publicación del boletín institucional: Se publicó el boletín institucional trimestral, una herramienta clave para mantener informados a los afiliados y funcionarios sobre las novedades, logros y actividades de la corporación.
6.	Alianzas y convenios: Se concretaron nuevas alianzas y convenios estratégicos con entidades clave, buscando ampliar la oferta de beneficios y servicios para los afiliados.
7.	Capacitación al personal de atención al cliente: Se realizó una jornada de capacitación para el personal de atención al cliente, con el fin de mejorar sus competencias en la gestión de solicitudes y fortalecer el enfoque en la excelencia en el servicio.
La ejecución de estas acciones fue fundamental para mejorar la experiencia del usuario y consolidar la CSC como una entidad cercana y comprometida con sus afiliados, manteniendo una comunicación efectiva y un servicio de alta calidad.</t>
  </si>
  <si>
    <t>Durante los meses de abril, mayo y junio de 2024, la Corporación Social de Cundinamarca (CSC) realizó un total de 254 nuevas afiliaciones, reflejando la confianza de los funcionarios públicos en los servicios ofrecidos.
Abril: Se llevaron a cabo 88 nuevas afiliaciones. Aunque el flujo de créditos fue bajo, las vinculaciones demostraron que la CSC sigue siendo una opción confiable y valorada en la región.
Mayo: El número de 114 nuevas afiliaciones mostró un crecimiento significativo respecto al mes anterior, consolidando la reputación de la CSC como una entidad preferida entre los funcionarios públicos.
Junio: A pesar de que solo se realizaron 52 afiliaciones, las ferias de servicios organizadas en este mes permitieron acercar la oferta de la CSC a usuarios actuales y potenciales, impulsando la difusión de sus productos y servicios.</t>
  </si>
  <si>
    <t>Durante los meses de abril, mayo y junio de 2024, la Corporación Social de Cundinamarca gestionó un total de 1,143 Peticiones, Quejas, Reclamos, Sugerencias, Denuncias y Felicitaciones (PQRSDF) a través de sus canales de comunicación como correo electrónico, la plataforma Webex, WhatsApp y línea telefónica.
Abril: Se recibieron 371 PQRSDF, todas peticiones. Los principales canales fueron WhatsApp y línea telefónica (217) y el correo institucional (93). Las áreas con mayor participación fueron Cartera (45) y Créditos (28).
Mayo: Se gestionaron 308 PQRSDF, nuevamente todas peticiones. La plataforma Webex fue el canal principal (132), seguido del correo institucional (103). Las áreas más activas fueron Atención al Cliente (43) y Cartera (31).
Junio: El número de PQRSDF subió a 464, con Webex como el canal más usado (173) y el correo electrónico (123). Las áreas de Créditos (73) y Cartera (51) recibieron la mayoría de las peticiones.
En los tres meses, no se registraron quejas, reclamos, sugerencias, denuncias ni felicitaciones.</t>
  </si>
  <si>
    <t>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t>
  </si>
  <si>
    <t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t>
  </si>
  <si>
    <t>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t>
  </si>
  <si>
    <t>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t>
  </si>
  <si>
    <t>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t>
  </si>
  <si>
    <t>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t>
  </si>
  <si>
    <t>Durante este trimestre, el indicador no tenía actividades programadas. Sin embargo, se recuerda al proceso la importancia de iniciar el diligenciamiento del autodiagnóstico, con el fin de evitar posibles incumplimientos en el próximo trimestre.</t>
  </si>
  <si>
    <t>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t>
  </si>
  <si>
    <t>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t>
  </si>
  <si>
    <t>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t>
  </si>
  <si>
    <t>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t>
  </si>
  <si>
    <t xml:space="preserve">El indicador no se cumplió, debido al que el proceso no aporta evidencias de los seguimientos  a los hallazgos de la auditoria interna. </t>
  </si>
  <si>
    <t>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t>
  </si>
  <si>
    <t>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t>
  </si>
  <si>
    <t>Se realiza gestión en 252 casos.</t>
  </si>
  <si>
    <t>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t>
  </si>
  <si>
    <t>Durante el segundo trimestre, se solicitó a los procesos que presentaran los avances y evidencias correspondientes a cada uno de sus indicadores. Después de revisar la información recibida, en algunos casos se pidió a los procesos que mejoraran la calidad de las evidencias. Al cierre de este trimestre, el plan muestra un avance acumulado del 37.18%, cumpliendo con el indicador establecido.</t>
  </si>
  <si>
    <t>Realizar reuniones de apertura y seguimiento, asì como la presentación del reporte FURAG reflejan un compromiso claro por parte de la entidad. Continuar con la asesoría, monitoreo, y capacitación será importante para asegurar el cumplimiento del indicador.</t>
  </si>
  <si>
    <t>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t>
  </si>
  <si>
    <t>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t>
  </si>
  <si>
    <t>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t>
  </si>
  <si>
    <t>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t>
  </si>
  <si>
    <t>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</si>
</sst>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_);_(@_)"/>
    <numFmt numFmtId="165" formatCode="_-&quot;$ &quot;* #,##0.00_-;&quot;-$ &quot;* #,##0.00_-;_-&quot;$ &quot;* \-??_-;_-@_-"/>
    <numFmt numFmtId="166" formatCode="0\ %"/>
    <numFmt numFmtId="167" formatCode="0.00\ %"/>
    <numFmt numFmtId="168" formatCode="dd/mm/yyyy"/>
    <numFmt numFmtId="169" formatCode="0.0%"/>
    <numFmt numFmtId="170" formatCode="&quot;$ &quot;#,##0.00;[Red]&quot;-$ &quot;#,##0.00"/>
    <numFmt numFmtId="171" formatCode="&quot;$ &quot;#,##0;[Red]&quot;-$ &quot;#,##0"/>
  </numFmts>
  <fonts count="31" x14ac:knownFonts="1">
    <font>
      <sz val="11"/>
      <color theme="1"/>
      <name val="Calibri"/>
      <charset val="1"/>
    </font>
    <font>
      <sz val="11"/>
      <color rgb="FF000000"/>
      <name val="Calibri"/>
      <family val="2"/>
      <charset val="1"/>
    </font>
    <font>
      <sz val="11"/>
      <color theme="1"/>
      <name val="Calibri"/>
      <family val="2"/>
      <charset val="1"/>
    </font>
    <font>
      <sz val="10"/>
      <name val="Arial"/>
      <family val="2"/>
      <charset val="1"/>
    </font>
    <font>
      <sz val="11"/>
      <name val="Calibri"/>
      <family val="2"/>
      <charset val="1"/>
    </font>
    <font>
      <b/>
      <sz val="11"/>
      <name val="Calibri"/>
      <family val="2"/>
      <charset val="1"/>
    </font>
    <font>
      <sz val="11"/>
      <color theme="1"/>
      <name val="Arial"/>
      <family val="2"/>
      <charset val="1"/>
    </font>
    <font>
      <sz val="11"/>
      <name val="Arial"/>
      <family val="2"/>
      <charset val="1"/>
    </font>
    <font>
      <b/>
      <sz val="11"/>
      <name val="Arial"/>
      <family val="2"/>
      <charset val="1"/>
    </font>
    <font>
      <sz val="10"/>
      <color theme="1"/>
      <name val="Arial"/>
      <family val="2"/>
      <charset val="1"/>
    </font>
    <font>
      <b/>
      <sz val="26"/>
      <name val="Arial"/>
      <family val="2"/>
      <charset val="1"/>
    </font>
    <font>
      <b/>
      <sz val="22"/>
      <name val="Arial"/>
      <family val="2"/>
      <charset val="1"/>
    </font>
    <font>
      <b/>
      <sz val="18"/>
      <name val="Arial"/>
      <family val="2"/>
      <charset val="1"/>
    </font>
    <font>
      <sz val="16"/>
      <name val="Arial"/>
      <family val="2"/>
      <charset val="1"/>
    </font>
    <font>
      <b/>
      <sz val="16"/>
      <name val="Arial"/>
      <family val="2"/>
      <charset val="1"/>
    </font>
    <font>
      <b/>
      <sz val="10"/>
      <name val="Arial"/>
      <family val="2"/>
      <charset val="1"/>
    </font>
    <font>
      <sz val="12"/>
      <name val="Arial"/>
      <family val="2"/>
      <charset val="1"/>
    </font>
    <font>
      <b/>
      <sz val="12"/>
      <name val="Arial"/>
      <family val="2"/>
      <charset val="1"/>
    </font>
    <font>
      <sz val="10"/>
      <color rgb="FFFF0000"/>
      <name val="Arial"/>
      <family val="2"/>
      <charset val="1"/>
    </font>
    <font>
      <sz val="10"/>
      <name val="Times New Roman"/>
      <family val="1"/>
    </font>
    <font>
      <b/>
      <sz val="20"/>
      <color theme="0"/>
      <name val="Arial"/>
      <family val="2"/>
      <charset val="1"/>
    </font>
    <font>
      <b/>
      <sz val="12"/>
      <color theme="0"/>
      <name val="Arial"/>
      <family val="2"/>
      <charset val="1"/>
    </font>
    <font>
      <b/>
      <sz val="11"/>
      <color theme="0"/>
      <name val="Arial"/>
      <family val="2"/>
      <charset val="1"/>
    </font>
    <font>
      <b/>
      <sz val="11"/>
      <color theme="1"/>
      <name val="Arial"/>
      <family val="2"/>
      <charset val="1"/>
    </font>
    <font>
      <b/>
      <sz val="16"/>
      <color theme="0"/>
      <name val="Arial"/>
      <family val="2"/>
      <charset val="1"/>
    </font>
    <font>
      <b/>
      <sz val="10"/>
      <color theme="0"/>
      <name val="Arial"/>
      <family val="2"/>
      <charset val="1"/>
    </font>
    <font>
      <b/>
      <sz val="18"/>
      <color theme="0"/>
      <name val="Calibri"/>
      <family val="2"/>
      <charset val="1"/>
    </font>
    <font>
      <sz val="8"/>
      <color theme="1"/>
      <name val="Arial"/>
      <family val="2"/>
      <charset val="1"/>
    </font>
    <font>
      <b/>
      <sz val="18"/>
      <color theme="0"/>
      <name val="Arial"/>
      <family val="2"/>
      <charset val="1"/>
    </font>
    <font>
      <sz val="11"/>
      <color theme="1"/>
      <name val="Calibri"/>
      <family val="2"/>
    </font>
    <font>
      <sz val="10"/>
      <name val="Arial"/>
      <family val="2"/>
    </font>
  </fonts>
  <fills count="9">
    <fill>
      <patternFill patternType="none"/>
    </fill>
    <fill>
      <patternFill patternType="gray125"/>
    </fill>
    <fill>
      <patternFill patternType="solid">
        <fgColor theme="0"/>
        <bgColor rgb="FFFFF2CC"/>
      </patternFill>
    </fill>
    <fill>
      <patternFill patternType="solid">
        <fgColor theme="0" tint="-0.14999847407452621"/>
        <bgColor rgb="FFBDD7EE"/>
      </patternFill>
    </fill>
    <fill>
      <patternFill patternType="solid">
        <fgColor theme="9" tint="0.79989013336588644"/>
        <bgColor rgb="FFFBE5D6"/>
      </patternFill>
    </fill>
    <fill>
      <patternFill patternType="solid">
        <fgColor rgb="FFFFFF00"/>
        <bgColor rgb="FFFFFF00"/>
      </patternFill>
    </fill>
    <fill>
      <patternFill patternType="solid">
        <fgColor rgb="FF002060"/>
        <bgColor rgb="FF203864"/>
      </patternFill>
    </fill>
    <fill>
      <patternFill patternType="solid">
        <fgColor theme="7" tint="0.79989013336588644"/>
        <bgColor rgb="FFFBE5D6"/>
      </patternFill>
    </fill>
    <fill>
      <patternFill patternType="solid">
        <fgColor theme="0"/>
        <bgColor indexed="64"/>
      </patternFill>
    </fill>
  </fills>
  <borders count="25">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s>
  <cellStyleXfs count="15">
    <xf numFmtId="0" fontId="0" fillId="0" borderId="0"/>
    <xf numFmtId="166" fontId="29" fillId="0" borderId="0" applyBorder="0" applyProtection="0"/>
    <xf numFmtId="164" fontId="1" fillId="0" borderId="0"/>
    <xf numFmtId="165" fontId="29" fillId="0" borderId="0" applyBorder="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166" fontId="29" fillId="0" borderId="0" applyBorder="0" applyProtection="0"/>
    <xf numFmtId="166" fontId="29" fillId="0" borderId="0" applyBorder="0" applyProtection="0"/>
  </cellStyleXfs>
  <cellXfs count="183">
    <xf numFmtId="0" fontId="0" fillId="0" borderId="0" xfId="0"/>
    <xf numFmtId="0" fontId="2" fillId="0" borderId="0" xfId="0" applyFont="1"/>
    <xf numFmtId="0" fontId="4" fillId="2" borderId="0" xfId="0" applyFont="1" applyFill="1"/>
    <xf numFmtId="0" fontId="4" fillId="2" borderId="0" xfId="0" applyFont="1" applyFill="1" applyAlignment="1">
      <alignment horizontal="center"/>
    </xf>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vertical="center"/>
    </xf>
    <xf numFmtId="0" fontId="6" fillId="0" borderId="0" xfId="0" applyFont="1"/>
    <xf numFmtId="0" fontId="7" fillId="2" borderId="0" xfId="0" applyFont="1" applyFill="1"/>
    <xf numFmtId="0" fontId="7" fillId="2" borderId="0" xfId="0" applyFont="1" applyFill="1" applyAlignment="1">
      <alignment horizontal="center"/>
    </xf>
    <xf numFmtId="0" fontId="8" fillId="2" borderId="0" xfId="0" applyFont="1" applyFill="1"/>
    <xf numFmtId="0" fontId="7" fillId="2" borderId="0" xfId="0" applyFont="1" applyFill="1" applyAlignment="1">
      <alignment horizontal="center" vertical="center"/>
    </xf>
    <xf numFmtId="0" fontId="7" fillId="2" borderId="0" xfId="0" applyFont="1" applyFill="1" applyAlignment="1">
      <alignment vertical="center"/>
    </xf>
    <xf numFmtId="4" fontId="11" fillId="2" borderId="1" xfId="0" applyNumberFormat="1" applyFont="1" applyFill="1" applyBorder="1" applyAlignment="1">
      <alignment vertical="center"/>
    </xf>
    <xf numFmtId="4" fontId="3"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4" fontId="10" fillId="2" borderId="0" xfId="0" applyNumberFormat="1" applyFont="1" applyFill="1" applyAlignment="1">
      <alignment vertical="center"/>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xf>
    <xf numFmtId="0" fontId="14" fillId="2" borderId="0" xfId="0" applyFont="1" applyFill="1" applyAlignment="1">
      <alignment vertical="center"/>
    </xf>
    <xf numFmtId="0" fontId="12"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5"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center"/>
    </xf>
    <xf numFmtId="0" fontId="17" fillId="2" borderId="0" xfId="0" applyFont="1" applyFill="1"/>
    <xf numFmtId="0" fontId="15" fillId="3" borderId="5" xfId="0" applyFont="1" applyFill="1" applyBorder="1" applyAlignment="1">
      <alignment vertical="center" wrapText="1"/>
    </xf>
    <xf numFmtId="0" fontId="15" fillId="3" borderId="6" xfId="0" applyFont="1" applyFill="1" applyBorder="1" applyAlignment="1">
      <alignment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vertical="center" wrapText="1"/>
    </xf>
    <xf numFmtId="0" fontId="15" fillId="3" borderId="8" xfId="0" applyFont="1" applyFill="1" applyBorder="1" applyAlignment="1">
      <alignment horizontal="center" vertical="center" textRotation="90" wrapText="1"/>
    </xf>
    <xf numFmtId="167" fontId="15" fillId="3" borderId="8" xfId="0" applyNumberFormat="1" applyFont="1" applyFill="1" applyBorder="1" applyAlignment="1">
      <alignment horizontal="center" vertical="center" textRotation="90" wrapText="1"/>
    </xf>
    <xf numFmtId="0" fontId="15" fillId="3" borderId="5" xfId="0" applyFont="1" applyFill="1" applyBorder="1" applyAlignment="1">
      <alignment horizontal="center" vertical="center" wrapText="1"/>
    </xf>
    <xf numFmtId="0" fontId="15" fillId="3" borderId="9" xfId="0" applyFont="1" applyFill="1" applyBorder="1" applyAlignment="1">
      <alignment vertical="center" wrapText="1"/>
    </xf>
    <xf numFmtId="166" fontId="17" fillId="3" borderId="1" xfId="0" applyNumberFormat="1" applyFont="1" applyFill="1" applyBorder="1" applyAlignment="1">
      <alignment horizontal="center" vertical="center" wrapText="1"/>
    </xf>
    <xf numFmtId="166" fontId="17" fillId="4" borderId="5" xfId="0" applyNumberFormat="1" applyFont="1" applyFill="1" applyBorder="1" applyAlignment="1">
      <alignment horizontal="center" vertical="center" wrapText="1"/>
    </xf>
    <xf numFmtId="166" fontId="17" fillId="3" borderId="6" xfId="0" applyNumberFormat="1" applyFont="1" applyFill="1" applyBorder="1" applyAlignment="1">
      <alignment horizontal="center" vertical="center" wrapText="1"/>
    </xf>
    <xf numFmtId="166" fontId="17" fillId="4" borderId="6"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168" fontId="3" fillId="2" borderId="1" xfId="0" applyNumberFormat="1" applyFont="1" applyFill="1" applyBorder="1" applyAlignment="1">
      <alignment horizontal="center" vertical="center"/>
    </xf>
    <xf numFmtId="1" fontId="3" fillId="2" borderId="1" xfId="1" applyNumberFormat="1" applyFont="1" applyFill="1" applyBorder="1" applyAlignment="1" applyProtection="1">
      <alignment horizontal="center" vertical="center"/>
    </xf>
    <xf numFmtId="167"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xf>
    <xf numFmtId="2" fontId="3" fillId="2" borderId="1" xfId="1" applyNumberFormat="1" applyFont="1" applyFill="1" applyBorder="1" applyAlignment="1" applyProtection="1">
      <alignment horizontal="center" vertical="center"/>
    </xf>
    <xf numFmtId="167" fontId="15" fillId="2" borderId="10" xfId="0" applyNumberFormat="1" applyFont="1" applyFill="1" applyBorder="1" applyAlignment="1">
      <alignment horizontal="center" vertical="center"/>
    </xf>
    <xf numFmtId="0" fontId="2" fillId="0" borderId="0" xfId="0" applyFont="1" applyAlignment="1">
      <alignment horizontal="justify" vertical="center"/>
    </xf>
    <xf numFmtId="0" fontId="3" fillId="4"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18" fillId="2" borderId="0" xfId="0" applyFont="1" applyFill="1"/>
    <xf numFmtId="0" fontId="18" fillId="5" borderId="0" xfId="0" applyFont="1" applyFill="1"/>
    <xf numFmtId="0" fontId="3" fillId="2" borderId="11" xfId="0" applyFont="1" applyFill="1" applyBorder="1" applyAlignment="1">
      <alignment horizontal="center" vertical="center" wrapText="1"/>
    </xf>
    <xf numFmtId="0" fontId="3" fillId="0" borderId="1" xfId="0" applyFont="1" applyBorder="1" applyAlignment="1">
      <alignment horizontal="center" vertical="center"/>
    </xf>
    <xf numFmtId="1" fontId="3" fillId="2" borderId="0" xfId="0" applyNumberFormat="1" applyFont="1" applyFill="1" applyAlignment="1">
      <alignment horizontal="center" vertical="center"/>
    </xf>
    <xf numFmtId="12" fontId="3" fillId="2" borderId="1" xfId="0" applyNumberFormat="1" applyFont="1" applyFill="1" applyBorder="1" applyAlignment="1">
      <alignment horizontal="center" vertical="center"/>
    </xf>
    <xf numFmtId="167" fontId="15" fillId="2" borderId="1" xfId="0" applyNumberFormat="1" applyFont="1" applyFill="1" applyBorder="1" applyAlignment="1">
      <alignment horizontal="center" vertical="center"/>
    </xf>
    <xf numFmtId="167" fontId="3" fillId="2" borderId="12"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justify" vertical="center"/>
    </xf>
    <xf numFmtId="166" fontId="3" fillId="2" borderId="1" xfId="1" applyFont="1" applyFill="1" applyBorder="1" applyAlignment="1" applyProtection="1">
      <alignment horizontal="center" vertical="center"/>
    </xf>
    <xf numFmtId="166" fontId="3" fillId="2" borderId="9" xfId="0" applyNumberFormat="1" applyFont="1" applyFill="1" applyBorder="1" applyAlignment="1">
      <alignment horizontal="justify" vertical="center" wrapText="1"/>
    </xf>
    <xf numFmtId="166" fontId="3" fillId="4" borderId="12" xfId="0" applyNumberFormat="1" applyFont="1" applyFill="1" applyBorder="1" applyAlignment="1">
      <alignment horizontal="justify" vertical="center"/>
    </xf>
    <xf numFmtId="166" fontId="3" fillId="4" borderId="12" xfId="0" applyNumberFormat="1" applyFont="1" applyFill="1" applyBorder="1" applyAlignment="1">
      <alignment horizontal="justify" vertical="center" wrapText="1"/>
    </xf>
    <xf numFmtId="166" fontId="3" fillId="2" borderId="9" xfId="0" applyNumberFormat="1" applyFont="1" applyFill="1" applyBorder="1" applyAlignment="1">
      <alignment horizontal="justify" vertical="top" wrapText="1"/>
    </xf>
    <xf numFmtId="0" fontId="3" fillId="2" borderId="0" xfId="0" applyFont="1" applyFill="1"/>
    <xf numFmtId="0" fontId="18" fillId="0" borderId="0" xfId="0" applyFont="1"/>
    <xf numFmtId="0" fontId="3" fillId="4" borderId="1" xfId="0" applyFont="1" applyFill="1" applyBorder="1" applyAlignment="1">
      <alignment horizontal="justify" vertical="center" wrapText="1"/>
    </xf>
    <xf numFmtId="167" fontId="3" fillId="2" borderId="1" xfId="1" applyNumberFormat="1" applyFont="1" applyFill="1" applyBorder="1" applyAlignment="1" applyProtection="1">
      <alignment horizontal="center" vertical="center"/>
    </xf>
    <xf numFmtId="0" fontId="3" fillId="5" borderId="0" xfId="0" applyFont="1" applyFill="1"/>
    <xf numFmtId="1" fontId="3" fillId="2" borderId="1" xfId="0" applyNumberFormat="1" applyFont="1" applyFill="1" applyBorder="1" applyAlignment="1">
      <alignment horizontal="center" vertical="center" wrapText="1"/>
    </xf>
    <xf numFmtId="167" fontId="3" fillId="0" borderId="1" xfId="1" applyNumberFormat="1" applyFont="1" applyBorder="1" applyAlignment="1" applyProtection="1">
      <alignment horizontal="center" vertical="center"/>
    </xf>
    <xf numFmtId="0" fontId="3" fillId="2" borderId="1" xfId="11" applyFont="1" applyFill="1" applyBorder="1" applyAlignment="1">
      <alignment horizontal="justify" vertical="center" wrapText="1"/>
    </xf>
    <xf numFmtId="0" fontId="3" fillId="0" borderId="0" xfId="0" applyFont="1"/>
    <xf numFmtId="3" fontId="3" fillId="0" borderId="1" xfId="1" applyNumberFormat="1" applyFont="1" applyBorder="1" applyAlignment="1" applyProtection="1">
      <alignment horizontal="center" vertical="center"/>
    </xf>
    <xf numFmtId="169" fontId="3" fillId="0" borderId="1" xfId="1" applyNumberFormat="1" applyFont="1" applyBorder="1" applyAlignment="1" applyProtection="1">
      <alignment horizontal="center" vertical="center"/>
    </xf>
    <xf numFmtId="169" fontId="3" fillId="2" borderId="1" xfId="1" applyNumberFormat="1" applyFont="1" applyFill="1" applyBorder="1" applyAlignment="1" applyProtection="1">
      <alignment horizontal="center" vertical="center"/>
    </xf>
    <xf numFmtId="0" fontId="15" fillId="2" borderId="14" xfId="0" applyFont="1" applyFill="1" applyBorder="1"/>
    <xf numFmtId="0" fontId="15" fillId="2" borderId="15" xfId="0" applyFont="1" applyFill="1" applyBorder="1"/>
    <xf numFmtId="0" fontId="19" fillId="4" borderId="1" xfId="0" applyFont="1" applyFill="1" applyBorder="1" applyAlignment="1">
      <alignment horizontal="justify" vertical="center" wrapText="1"/>
    </xf>
    <xf numFmtId="1" fontId="3" fillId="2" borderId="1" xfId="1" applyNumberFormat="1" applyFont="1" applyFill="1" applyBorder="1" applyAlignment="1" applyProtection="1">
      <alignment horizontal="center" vertical="center" wrapText="1"/>
    </xf>
    <xf numFmtId="1" fontId="3" fillId="5" borderId="1" xfId="0" applyNumberFormat="1" applyFont="1" applyFill="1" applyBorder="1" applyAlignment="1">
      <alignment horizontal="center" vertical="center" wrapText="1"/>
    </xf>
    <xf numFmtId="1" fontId="3" fillId="5" borderId="1" xfId="1" applyNumberFormat="1" applyFont="1" applyFill="1" applyBorder="1" applyAlignment="1" applyProtection="1">
      <alignment horizontal="center" vertical="center"/>
    </xf>
    <xf numFmtId="3" fontId="3" fillId="2" borderId="1"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horizontal="center" vertical="center" wrapText="1"/>
    </xf>
    <xf numFmtId="167" fontId="5" fillId="2" borderId="0" xfId="0" applyNumberFormat="1" applyFont="1" applyFill="1"/>
    <xf numFmtId="0" fontId="6" fillId="2" borderId="0" xfId="4" applyFont="1" applyFill="1"/>
    <xf numFmtId="0" fontId="21" fillId="6" borderId="16" xfId="4" applyFont="1" applyFill="1" applyBorder="1" applyAlignment="1">
      <alignment horizontal="center" vertical="center"/>
    </xf>
    <xf numFmtId="0" fontId="22" fillId="6" borderId="8" xfId="4" applyFont="1" applyFill="1" applyBorder="1" applyAlignment="1">
      <alignment horizontal="center" vertical="center" wrapText="1"/>
    </xf>
    <xf numFmtId="0" fontId="22" fillId="6" borderId="17" xfId="4" applyFont="1" applyFill="1" applyBorder="1" applyAlignment="1">
      <alignment horizontal="center" vertical="center" wrapText="1"/>
    </xf>
    <xf numFmtId="167" fontId="7" fillId="7" borderId="18" xfId="4" applyNumberFormat="1" applyFont="1" applyFill="1" applyBorder="1" applyAlignment="1">
      <alignment horizontal="center" vertical="center"/>
    </xf>
    <xf numFmtId="167" fontId="7" fillId="7" borderId="19" xfId="4" applyNumberFormat="1" applyFont="1" applyFill="1" applyBorder="1" applyAlignment="1">
      <alignment horizontal="center" vertical="center"/>
    </xf>
    <xf numFmtId="167" fontId="22" fillId="6" borderId="19" xfId="4" applyNumberFormat="1" applyFont="1" applyFill="1" applyBorder="1" applyAlignment="1">
      <alignment horizontal="center" vertical="center"/>
    </xf>
    <xf numFmtId="170" fontId="6" fillId="2" borderId="0" xfId="4" applyNumberFormat="1" applyFont="1" applyFill="1"/>
    <xf numFmtId="171" fontId="6" fillId="2" borderId="0" xfId="4" applyNumberFormat="1" applyFont="1" applyFill="1"/>
    <xf numFmtId="2" fontId="6" fillId="2" borderId="0" xfId="4" applyNumberFormat="1" applyFont="1" applyFill="1"/>
    <xf numFmtId="0" fontId="6" fillId="2" borderId="0" xfId="0" applyFont="1" applyFill="1"/>
    <xf numFmtId="0" fontId="22" fillId="6" borderId="18" xfId="4" applyFont="1" applyFill="1" applyBorder="1" applyAlignment="1">
      <alignment horizontal="center" vertical="center" wrapText="1"/>
    </xf>
    <xf numFmtId="0" fontId="22" fillId="6" borderId="15" xfId="4" applyFont="1" applyFill="1" applyBorder="1" applyAlignment="1">
      <alignment horizontal="center" vertical="center" wrapText="1"/>
    </xf>
    <xf numFmtId="0" fontId="6" fillId="2" borderId="19" xfId="0" applyFont="1" applyFill="1" applyBorder="1" applyAlignment="1">
      <alignment horizontal="justify" vertical="center"/>
    </xf>
    <xf numFmtId="167" fontId="6" fillId="2" borderId="19" xfId="4" applyNumberFormat="1" applyFont="1" applyFill="1" applyBorder="1" applyAlignment="1">
      <alignment horizontal="center" vertical="center"/>
    </xf>
    <xf numFmtId="0" fontId="6" fillId="2" borderId="6" xfId="0" applyFont="1" applyFill="1" applyBorder="1"/>
    <xf numFmtId="0" fontId="6" fillId="2" borderId="1" xfId="0" applyFont="1" applyFill="1" applyBorder="1"/>
    <xf numFmtId="0" fontId="22" fillId="6" borderId="1" xfId="5" applyFont="1" applyFill="1" applyBorder="1" applyAlignment="1">
      <alignment horizontal="center" vertical="center" wrapText="1"/>
    </xf>
    <xf numFmtId="167" fontId="22" fillId="6" borderId="1" xfId="4" applyNumberFormat="1" applyFont="1" applyFill="1" applyBorder="1" applyAlignment="1">
      <alignment horizontal="center" vertical="center"/>
    </xf>
    <xf numFmtId="0" fontId="6" fillId="2" borderId="0" xfId="4" applyFont="1" applyFill="1" applyAlignment="1">
      <alignment vertical="center"/>
    </xf>
    <xf numFmtId="0" fontId="22" fillId="6" borderId="1" xfId="4" applyFont="1" applyFill="1" applyBorder="1" applyAlignment="1">
      <alignment horizontal="center" vertical="center" wrapText="1"/>
    </xf>
    <xf numFmtId="0" fontId="22" fillId="6" borderId="6" xfId="4" applyFont="1" applyFill="1" applyBorder="1" applyAlignment="1">
      <alignment horizontal="center" vertical="center" wrapText="1"/>
    </xf>
    <xf numFmtId="0" fontId="9" fillId="2" borderId="18" xfId="5" applyFont="1" applyFill="1" applyBorder="1" applyAlignment="1">
      <alignment horizontal="center" vertical="center"/>
    </xf>
    <xf numFmtId="167" fontId="9" fillId="2" borderId="18" xfId="4" applyNumberFormat="1" applyFont="1" applyFill="1" applyBorder="1" applyAlignment="1">
      <alignment horizontal="center" vertical="center"/>
    </xf>
    <xf numFmtId="0" fontId="25" fillId="6" borderId="1" xfId="5" applyFont="1" applyFill="1" applyBorder="1" applyAlignment="1">
      <alignment horizontal="center" vertical="center" wrapText="1"/>
    </xf>
    <xf numFmtId="0" fontId="2" fillId="2" borderId="0" xfId="4" applyFill="1"/>
    <xf numFmtId="0" fontId="9" fillId="2" borderId="10" xfId="5" applyFont="1" applyFill="1" applyBorder="1" applyAlignment="1">
      <alignment horizontal="center" vertical="center"/>
    </xf>
    <xf numFmtId="167" fontId="9" fillId="2" borderId="20" xfId="4" applyNumberFormat="1" applyFont="1" applyFill="1" applyBorder="1" applyAlignment="1">
      <alignment horizontal="center" vertical="center"/>
    </xf>
    <xf numFmtId="0" fontId="27" fillId="2" borderId="6" xfId="0" applyFont="1" applyFill="1" applyBorder="1" applyAlignment="1">
      <alignment horizontal="justify" vertical="center"/>
    </xf>
    <xf numFmtId="0" fontId="27" fillId="2" borderId="6" xfId="0" applyFont="1" applyFill="1" applyBorder="1"/>
    <xf numFmtId="0" fontId="27" fillId="2" borderId="1" xfId="0" applyFont="1" applyFill="1" applyBorder="1" applyAlignment="1">
      <alignment horizontal="justify" vertical="center"/>
    </xf>
    <xf numFmtId="0" fontId="27" fillId="2" borderId="1" xfId="0" applyFont="1" applyFill="1" applyBorder="1"/>
    <xf numFmtId="167" fontId="22" fillId="6" borderId="8" xfId="4" applyNumberFormat="1" applyFont="1" applyFill="1" applyBorder="1" applyAlignment="1">
      <alignment horizontal="center" vertical="center"/>
    </xf>
    <xf numFmtId="0" fontId="4" fillId="2" borderId="0" xfId="4" applyFont="1" applyFill="1"/>
    <xf numFmtId="0" fontId="3" fillId="2" borderId="1" xfId="5" applyFont="1" applyFill="1" applyBorder="1" applyAlignment="1">
      <alignment horizontal="justify" vertical="center"/>
    </xf>
    <xf numFmtId="167" fontId="3" fillId="2" borderId="1" xfId="4" applyNumberFormat="1" applyFont="1" applyFill="1" applyBorder="1" applyAlignment="1">
      <alignment horizontal="center" vertical="center"/>
    </xf>
    <xf numFmtId="0" fontId="3" fillId="2" borderId="0" xfId="4" applyFont="1" applyFill="1"/>
    <xf numFmtId="167" fontId="25" fillId="6" borderId="1" xfId="1" applyNumberFormat="1" applyFont="1" applyFill="1" applyBorder="1" applyAlignment="1" applyProtection="1">
      <alignment horizontal="center" vertical="center"/>
    </xf>
    <xf numFmtId="0" fontId="3" fillId="2" borderId="1" xfId="4" applyFont="1" applyFill="1" applyBorder="1" applyAlignment="1">
      <alignment horizontal="justify" vertical="center"/>
    </xf>
    <xf numFmtId="167" fontId="6" fillId="2" borderId="1" xfId="4" applyNumberFormat="1" applyFont="1" applyFill="1" applyBorder="1" applyAlignment="1">
      <alignment horizontal="center" vertical="center"/>
    </xf>
    <xf numFmtId="0" fontId="9" fillId="2" borderId="1" xfId="5" applyFont="1" applyFill="1" applyBorder="1" applyAlignment="1">
      <alignment horizontal="justify" vertical="center"/>
    </xf>
    <xf numFmtId="166" fontId="6" fillId="2" borderId="1" xfId="4" applyNumberFormat="1" applyFont="1" applyFill="1" applyBorder="1" applyAlignment="1">
      <alignment horizontal="center" vertical="center"/>
    </xf>
    <xf numFmtId="166" fontId="6" fillId="2" borderId="1" xfId="1" applyFont="1" applyFill="1" applyBorder="1" applyAlignment="1" applyProtection="1">
      <alignment horizontal="center" vertical="center"/>
    </xf>
    <xf numFmtId="0" fontId="0" fillId="2" borderId="0" xfId="0" applyFill="1"/>
    <xf numFmtId="0" fontId="0" fillId="7" borderId="21" xfId="0" applyFill="1" applyBorder="1"/>
    <xf numFmtId="167" fontId="0" fillId="7" borderId="9" xfId="0" applyNumberFormat="1" applyFill="1" applyBorder="1"/>
    <xf numFmtId="0" fontId="0" fillId="7" borderId="22" xfId="0" applyFill="1" applyBorder="1"/>
    <xf numFmtId="167" fontId="0" fillId="7" borderId="19" xfId="0" applyNumberFormat="1" applyFill="1" applyBorder="1"/>
    <xf numFmtId="0" fontId="0" fillId="7" borderId="23" xfId="0" applyFill="1" applyBorder="1"/>
    <xf numFmtId="167" fontId="0" fillId="7" borderId="24" xfId="0" applyNumberFormat="1" applyFill="1" applyBorder="1"/>
    <xf numFmtId="1" fontId="3" fillId="0" borderId="1" xfId="0" applyNumberFormat="1" applyFont="1" applyBorder="1" applyAlignment="1">
      <alignment horizontal="center" vertical="center" wrapText="1"/>
    </xf>
    <xf numFmtId="1" fontId="3" fillId="0" borderId="1" xfId="1" applyNumberFormat="1" applyFont="1" applyBorder="1" applyAlignment="1" applyProtection="1">
      <alignment horizontal="center" vertical="center"/>
    </xf>
    <xf numFmtId="16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8"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7" fontId="3" fillId="0" borderId="1" xfId="0" applyNumberFormat="1" applyFont="1" applyBorder="1" applyAlignment="1">
      <alignment horizontal="center" vertical="center" wrapText="1"/>
    </xf>
    <xf numFmtId="167" fontId="15" fillId="0" borderId="1" xfId="0" applyNumberFormat="1" applyFont="1" applyBorder="1" applyAlignment="1">
      <alignment horizontal="center" vertical="center"/>
    </xf>
    <xf numFmtId="0" fontId="30" fillId="8" borderId="1" xfId="0" applyFont="1" applyFill="1" applyBorder="1" applyAlignment="1">
      <alignment horizontal="justify" vertical="center" wrapText="1"/>
    </xf>
    <xf numFmtId="166" fontId="3" fillId="2" borderId="1" xfId="0" applyNumberFormat="1" applyFont="1" applyFill="1" applyBorder="1" applyAlignment="1">
      <alignment horizontal="justify" vertical="center" wrapText="1"/>
    </xf>
    <xf numFmtId="166" fontId="3" fillId="4" borderId="1" xfId="0" applyNumberFormat="1" applyFont="1" applyFill="1" applyBorder="1" applyAlignment="1">
      <alignment horizontal="justify" vertical="center"/>
    </xf>
    <xf numFmtId="167" fontId="6" fillId="2" borderId="0" xfId="4" applyNumberFormat="1" applyFont="1" applyFill="1"/>
    <xf numFmtId="166" fontId="6" fillId="2" borderId="0" xfId="4" applyNumberFormat="1" applyFont="1" applyFill="1" applyAlignment="1">
      <alignment horizontal="center" vertical="center"/>
    </xf>
    <xf numFmtId="0" fontId="30" fillId="4" borderId="1" xfId="0" applyFont="1" applyFill="1" applyBorder="1" applyAlignment="1">
      <alignment horizontal="justify" vertical="center"/>
    </xf>
    <xf numFmtId="167" fontId="15" fillId="2" borderId="1" xfId="0" applyNumberFormat="1" applyFont="1" applyFill="1" applyBorder="1" applyAlignment="1">
      <alignment horizontal="center" vertical="center"/>
    </xf>
    <xf numFmtId="167" fontId="15" fillId="2" borderId="1" xfId="1" applyNumberFormat="1" applyFont="1" applyFill="1" applyBorder="1" applyAlignment="1" applyProtection="1">
      <alignment horizontal="center" vertical="center"/>
    </xf>
    <xf numFmtId="167" fontId="15" fillId="2" borderId="8" xfId="0" applyNumberFormat="1" applyFont="1" applyFill="1" applyBorder="1" applyAlignment="1">
      <alignment horizontal="center" vertical="center"/>
    </xf>
    <xf numFmtId="167" fontId="15" fillId="2" borderId="6" xfId="0" applyNumberFormat="1" applyFont="1" applyFill="1" applyBorder="1" applyAlignment="1">
      <alignment horizontal="center" vertical="center"/>
    </xf>
    <xf numFmtId="167" fontId="15" fillId="2" borderId="15" xfId="0" applyNumberFormat="1" applyFont="1" applyFill="1" applyBorder="1" applyAlignment="1">
      <alignment horizontal="center" vertical="center"/>
    </xf>
    <xf numFmtId="167" fontId="15" fillId="2" borderId="13"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4" xfId="0" applyFont="1" applyFill="1" applyBorder="1" applyAlignment="1">
      <alignment horizontal="center" vertical="center"/>
    </xf>
    <xf numFmtId="4" fontId="9" fillId="0" borderId="0" xfId="0" applyNumberFormat="1" applyFont="1" applyAlignment="1">
      <alignment horizontal="center" vertical="center"/>
    </xf>
    <xf numFmtId="4" fontId="3"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4" fontId="14" fillId="3"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20" fillId="6" borderId="1" xfId="4" applyFont="1" applyFill="1" applyBorder="1" applyAlignment="1">
      <alignment horizontal="center" wrapText="1"/>
    </xf>
    <xf numFmtId="167" fontId="23" fillId="7" borderId="6" xfId="4" applyNumberFormat="1" applyFont="1" applyFill="1" applyBorder="1" applyAlignment="1">
      <alignment horizontal="center" vertical="center"/>
    </xf>
    <xf numFmtId="167" fontId="23" fillId="7" borderId="15" xfId="4" applyNumberFormat="1" applyFont="1" applyFill="1" applyBorder="1" applyAlignment="1">
      <alignment horizontal="center" vertical="center"/>
    </xf>
    <xf numFmtId="167" fontId="23" fillId="7" borderId="8" xfId="4" applyNumberFormat="1" applyFont="1" applyFill="1" applyBorder="1" applyAlignment="1">
      <alignment horizontal="center" vertical="center"/>
    </xf>
    <xf numFmtId="0" fontId="24" fillId="6" borderId="1" xfId="4" applyFont="1" applyFill="1" applyBorder="1" applyAlignment="1">
      <alignment horizontal="center"/>
    </xf>
    <xf numFmtId="0" fontId="24" fillId="6" borderId="1" xfId="4" applyFont="1" applyFill="1" applyBorder="1" applyAlignment="1">
      <alignment horizontal="center" vertical="center"/>
    </xf>
    <xf numFmtId="0" fontId="26" fillId="6" borderId="1" xfId="4" applyFont="1" applyFill="1" applyBorder="1" applyAlignment="1">
      <alignment horizontal="center"/>
    </xf>
    <xf numFmtId="0" fontId="28" fillId="6" borderId="1" xfId="4" applyFont="1" applyFill="1" applyBorder="1" applyAlignment="1">
      <alignment horizontal="center" vertical="center"/>
    </xf>
    <xf numFmtId="0" fontId="22" fillId="6" borderId="1" xfId="4" applyFont="1" applyFill="1" applyBorder="1" applyAlignment="1">
      <alignment horizontal="center"/>
    </xf>
    <xf numFmtId="0" fontId="21" fillId="6" borderId="1" xfId="4" applyFont="1" applyFill="1" applyBorder="1" applyAlignment="1">
      <alignment horizontal="center"/>
    </xf>
    <xf numFmtId="0" fontId="22" fillId="6" borderId="1" xfId="4" applyFont="1" applyFill="1" applyBorder="1" applyAlignment="1">
      <alignment horizontal="center" vertical="center"/>
    </xf>
  </cellXfs>
  <cellStyles count="15">
    <cellStyle name="Millares 2 2" xfId="2" xr:uid="{00000000-0005-0000-0000-000006000000}"/>
    <cellStyle name="Moneda 2" xfId="3" xr:uid="{00000000-0005-0000-0000-000007000000}"/>
    <cellStyle name="Normal" xfId="0" builtinId="0"/>
    <cellStyle name="Normal 2" xfId="4" xr:uid="{00000000-0005-0000-0000-000008000000}"/>
    <cellStyle name="Normal 2 2" xfId="5" xr:uid="{00000000-0005-0000-0000-000009000000}"/>
    <cellStyle name="Normal 2 2 2" xfId="6" xr:uid="{00000000-0005-0000-0000-00000A000000}"/>
    <cellStyle name="Normal 2 2 3" xfId="7" xr:uid="{00000000-0005-0000-0000-00000B000000}"/>
    <cellStyle name="Normal 2 2 4" xfId="8" xr:uid="{00000000-0005-0000-0000-00000C000000}"/>
    <cellStyle name="Normal 2 3" xfId="9" xr:uid="{00000000-0005-0000-0000-00000D000000}"/>
    <cellStyle name="Normal 2 4" xfId="10" xr:uid="{00000000-0005-0000-0000-00000E000000}"/>
    <cellStyle name="Normal 3" xfId="11" xr:uid="{00000000-0005-0000-0000-00000F000000}"/>
    <cellStyle name="Normal 4" xfId="12" xr:uid="{00000000-0005-0000-0000-000010000000}"/>
    <cellStyle name="Porcentaje" xfId="1" builtinId="5"/>
    <cellStyle name="Porcentaje 2" xfId="13" xr:uid="{00000000-0005-0000-0000-000011000000}"/>
    <cellStyle name="Porcentaje 4" xfId="14"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BFBFBF"/>
      <rgbColor rgb="FF8B8B8B"/>
      <rgbColor rgb="FF9999FF"/>
      <rgbColor rgb="FF993366"/>
      <rgbColor rgb="FFFFF2CC"/>
      <rgbColor rgb="FFD9D9D9"/>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E2F0D9"/>
      <rgbColor rgb="FFFBE5D6"/>
      <rgbColor rgb="FF99CCFF"/>
      <rgbColor rgb="FFFF99CC"/>
      <rgbColor rgb="FFCC99FF"/>
      <rgbColor rgb="FFF4B183"/>
      <rgbColor rgb="FF4472C4"/>
      <rgbColor rgb="FF33CCCC"/>
      <rgbColor rgb="FF92D050"/>
      <rgbColor rgb="FFFFCC00"/>
      <rgbColor rgb="FFFF9900"/>
      <rgbColor rgb="FFED7D31"/>
      <rgbColor rgb="FF666699"/>
      <rgbColor rgb="FFA6A6A6"/>
      <rgbColor rgb="FF002060"/>
      <rgbColor rgb="FF339966"/>
      <rgbColor rgb="FF003300"/>
      <rgbColor rgb="FF385623"/>
      <rgbColor rgb="FF993300"/>
      <rgbColor rgb="FF993366"/>
      <rgbColor rgb="FF333399"/>
      <rgbColor rgb="FF20386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CUMPLIMIENTO PLAN DE ACCIÓN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'Cumplimiento 2024'!$B$23</c:f>
              <c:strCache>
                <c:ptCount val="1"/>
                <c:pt idx="0">
                  <c:v>1 MER TRIM</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2024'!$C$22:$M$22</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2024'!$C$23:$M$23</c:f>
              <c:numCache>
                <c:formatCode>0\ %</c:formatCode>
                <c:ptCount val="11"/>
                <c:pt idx="0">
                  <c:v>0.25</c:v>
                </c:pt>
                <c:pt idx="1">
                  <c:v>0.24318997201458456</c:v>
                </c:pt>
                <c:pt idx="2">
                  <c:v>0.11959940407217347</c:v>
                </c:pt>
                <c:pt idx="3">
                  <c:v>0.11887999283553496</c:v>
                </c:pt>
                <c:pt idx="4">
                  <c:v>0.18055555555555555</c:v>
                </c:pt>
                <c:pt idx="5">
                  <c:v>0.22000000000000003</c:v>
                </c:pt>
                <c:pt idx="6">
                  <c:v>0.16666666666666666</c:v>
                </c:pt>
                <c:pt idx="7">
                  <c:v>0.21416497633536172</c:v>
                </c:pt>
                <c:pt idx="8">
                  <c:v>0.17711536447714837</c:v>
                </c:pt>
                <c:pt idx="9">
                  <c:v>0.10366666666666667</c:v>
                </c:pt>
                <c:pt idx="10">
                  <c:v>9.1269841269841279E-2</c:v>
                </c:pt>
              </c:numCache>
            </c:numRef>
          </c:val>
          <c:extLst>
            <c:ext xmlns:c16="http://schemas.microsoft.com/office/drawing/2014/chart" uri="{C3380CC4-5D6E-409C-BE32-E72D297353CC}">
              <c16:uniqueId val="{00000000-2AC9-43CD-8A1A-7E7569EF02EF}"/>
            </c:ext>
          </c:extLst>
        </c:ser>
        <c:ser>
          <c:idx val="1"/>
          <c:order val="1"/>
          <c:tx>
            <c:strRef>
              <c:f>'Cumplimiento 2024'!$B$24</c:f>
              <c:strCache>
                <c:ptCount val="1"/>
                <c:pt idx="0">
                  <c:v>2DO TRIM</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2024'!$C$22:$M$22</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'Cumplimiento 2024'!$C$24:$M$24</c:f>
              <c:numCache>
                <c:formatCode>0\ %</c:formatCode>
                <c:ptCount val="11"/>
                <c:pt idx="0">
                  <c:v>0.25</c:v>
                </c:pt>
                <c:pt idx="1">
                  <c:v>0.20960000000000001</c:v>
                </c:pt>
                <c:pt idx="2">
                  <c:v>0.13804037895511403</c:v>
                </c:pt>
                <c:pt idx="3">
                  <c:v>9.9928993400893937E-2</c:v>
                </c:pt>
                <c:pt idx="4">
                  <c:v>0.12962962962962962</c:v>
                </c:pt>
                <c:pt idx="5">
                  <c:v>0.25545454545454549</c:v>
                </c:pt>
                <c:pt idx="6">
                  <c:v>0.29459999999999997</c:v>
                </c:pt>
                <c:pt idx="7">
                  <c:v>0.19437119675456391</c:v>
                </c:pt>
                <c:pt idx="8">
                  <c:v>0.19009713611378307</c:v>
                </c:pt>
                <c:pt idx="9">
                  <c:v>0.33889999999999998</c:v>
                </c:pt>
                <c:pt idx="10">
                  <c:v>0.1111111111111111</c:v>
                </c:pt>
              </c:numCache>
            </c:numRef>
          </c:val>
          <c:extLst>
            <c:ext xmlns:c16="http://schemas.microsoft.com/office/drawing/2014/chart" uri="{C3380CC4-5D6E-409C-BE32-E72D297353CC}">
              <c16:uniqueId val="{00000001-2AC9-43CD-8A1A-7E7569EF02EF}"/>
            </c:ext>
          </c:extLst>
        </c:ser>
        <c:dLbls>
          <c:showLegendKey val="0"/>
          <c:showVal val="1"/>
          <c:showCatName val="0"/>
          <c:showSerName val="0"/>
          <c:showPercent val="0"/>
          <c:showBubbleSize val="0"/>
        </c:dLbls>
        <c:gapWidth val="150"/>
        <c:axId val="1377898351"/>
        <c:axId val="1377897391"/>
      </c:barChart>
      <c:catAx>
        <c:axId val="13778983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419"/>
          </a:p>
        </c:txPr>
        <c:crossAx val="1377897391"/>
        <c:crosses val="autoZero"/>
        <c:auto val="1"/>
        <c:lblAlgn val="ctr"/>
        <c:lblOffset val="100"/>
        <c:noMultiLvlLbl val="0"/>
      </c:catAx>
      <c:valAx>
        <c:axId val="1377897391"/>
        <c:scaling>
          <c:orientation val="minMax"/>
        </c:scaling>
        <c:delete val="1"/>
        <c:axPos val="l"/>
        <c:numFmt formatCode="0\ %" sourceLinked="1"/>
        <c:majorTickMark val="none"/>
        <c:minorTickMark val="none"/>
        <c:tickLblPos val="nextTo"/>
        <c:crossAx val="1377898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300" b="0" u="none" strike="noStrike">
                <a:uFillTx/>
                <a:latin typeface="Arial"/>
              </a:defRPr>
            </a:pPr>
            <a:r>
              <a:rPr lang="es-CO" sz="1800" b="1" u="none" strike="noStrike">
                <a:solidFill>
                  <a:srgbClr val="FFFFFF"/>
                </a:solidFill>
                <a:uFillTx/>
                <a:latin typeface="Calibri"/>
                <a:ea typeface="Calibri"/>
              </a:rPr>
              <a:t>% de Cumplimiento cuarto Trimestre</a:t>
            </a:r>
          </a:p>
        </c:rich>
      </c:tx>
      <c:layout>
        <c:manualLayout>
          <c:xMode val="edge"/>
          <c:yMode val="edge"/>
          <c:x val="0.26643445839874402"/>
          <c:y val="2.3455208435990901E-2"/>
        </c:manualLayout>
      </c:layout>
      <c:overlay val="0"/>
      <c:spPr>
        <a:noFill/>
        <a:ln w="0">
          <a:noFill/>
        </a:ln>
      </c:spPr>
    </c:title>
    <c:autoTitleDeleted val="0"/>
    <c:view3D>
      <c:rotX val="15"/>
      <c:rotY val="20"/>
      <c:rAngAx val="1"/>
    </c:view3D>
    <c:floor>
      <c:thickness val="0"/>
      <c:spPr>
        <a:solidFill>
          <a:srgbClr val="BFBFBF">
            <a:alpha val="27000"/>
          </a:srgbClr>
        </a:solidFill>
        <a:ln w="6480">
          <a:noFill/>
        </a:ln>
      </c:spPr>
    </c:floor>
    <c:sideWall>
      <c:thickness val="0"/>
      <c:spPr>
        <a:solidFill>
          <a:srgbClr val="D9D9D9"/>
        </a:solidFill>
        <a:ln w="6480">
          <a:noFill/>
        </a:ln>
      </c:spPr>
    </c:sideWall>
    <c:backWall>
      <c:thickness val="0"/>
      <c:spPr>
        <a:solidFill>
          <a:srgbClr val="D9D9D9"/>
        </a:solidFill>
        <a:ln w="6480">
          <a:noFill/>
        </a:ln>
      </c:spPr>
    </c:backWall>
    <c:plotArea>
      <c:layout>
        <c:manualLayout>
          <c:layoutTarget val="inner"/>
          <c:xMode val="edge"/>
          <c:yMode val="edge"/>
          <c:x val="0.14217032967033"/>
          <c:y val="1.9710259189908299E-4"/>
          <c:w val="0.85101059654631095"/>
          <c:h val="0.62836306297427802"/>
        </c:manualLayout>
      </c:layout>
      <c:bar3DChart>
        <c:barDir val="col"/>
        <c:grouping val="standard"/>
        <c:varyColors val="0"/>
        <c:ser>
          <c:idx val="0"/>
          <c:order val="0"/>
          <c:spPr>
            <a:solidFill>
              <a:srgbClr val="4472C4">
                <a:alpha val="88000"/>
              </a:srgbClr>
            </a:solidFill>
            <a:ln w="0">
              <a:solidFill>
                <a:srgbClr val="203864"/>
              </a:solidFill>
            </a:ln>
          </c:spPr>
          <c:invertIfNegative val="0"/>
          <c:dPt>
            <c:idx val="0"/>
            <c:invertIfNegative val="0"/>
            <c:bubble3D val="0"/>
            <c:spPr>
              <a:solidFill>
                <a:srgbClr val="ED7D31">
                  <a:alpha val="88000"/>
                </a:srgbClr>
              </a:solidFill>
              <a:ln w="0">
                <a:solidFill>
                  <a:srgbClr val="203864"/>
                </a:solidFill>
              </a:ln>
            </c:spPr>
            <c:extLst>
              <c:ext xmlns:c16="http://schemas.microsoft.com/office/drawing/2014/chart" uri="{C3380CC4-5D6E-409C-BE32-E72D297353CC}">
                <c16:uniqueId val="{00000001-BDE9-47AE-9BBF-02DA6D8672E9}"/>
              </c:ext>
            </c:extLst>
          </c:dPt>
          <c:dPt>
            <c:idx val="1"/>
            <c:invertIfNegative val="0"/>
            <c:bubble3D val="0"/>
            <c:spPr>
              <a:solidFill>
                <a:srgbClr val="FBE5D6">
                  <a:alpha val="88000"/>
                </a:srgbClr>
              </a:solidFill>
              <a:ln w="0">
                <a:solidFill>
                  <a:srgbClr val="203864"/>
                </a:solidFill>
              </a:ln>
            </c:spPr>
            <c:extLst>
              <c:ext xmlns:c16="http://schemas.microsoft.com/office/drawing/2014/chart" uri="{C3380CC4-5D6E-409C-BE32-E72D297353CC}">
                <c16:uniqueId val="{00000003-BDE9-47AE-9BBF-02DA6D8672E9}"/>
              </c:ext>
            </c:extLst>
          </c:dPt>
          <c:dPt>
            <c:idx val="2"/>
            <c:invertIfNegative val="0"/>
            <c:bubble3D val="0"/>
            <c:spPr>
              <a:solidFill>
                <a:srgbClr val="385623">
                  <a:alpha val="88000"/>
                </a:srgbClr>
              </a:solidFill>
              <a:ln w="0">
                <a:solidFill>
                  <a:srgbClr val="203864"/>
                </a:solidFill>
              </a:ln>
            </c:spPr>
            <c:extLst>
              <c:ext xmlns:c16="http://schemas.microsoft.com/office/drawing/2014/chart" uri="{C3380CC4-5D6E-409C-BE32-E72D297353CC}">
                <c16:uniqueId val="{00000005-BDE9-47AE-9BBF-02DA6D8672E9}"/>
              </c:ext>
            </c:extLst>
          </c:dPt>
          <c:dPt>
            <c:idx val="3"/>
            <c:invertIfNegative val="0"/>
            <c:bubble3D val="0"/>
            <c:spPr>
              <a:solidFill>
                <a:srgbClr val="FFF2CC">
                  <a:alpha val="88000"/>
                </a:srgbClr>
              </a:solidFill>
              <a:ln w="0">
                <a:solidFill>
                  <a:srgbClr val="203864"/>
                </a:solidFill>
              </a:ln>
            </c:spPr>
            <c:extLst>
              <c:ext xmlns:c16="http://schemas.microsoft.com/office/drawing/2014/chart" uri="{C3380CC4-5D6E-409C-BE32-E72D297353CC}">
                <c16:uniqueId val="{00000007-BDE9-47AE-9BBF-02DA6D8672E9}"/>
              </c:ext>
            </c:extLst>
          </c:dPt>
          <c:dPt>
            <c:idx val="4"/>
            <c:invertIfNegative val="0"/>
            <c:bubble3D val="0"/>
            <c:extLst>
              <c:ext xmlns:c16="http://schemas.microsoft.com/office/drawing/2014/chart" uri="{C3380CC4-5D6E-409C-BE32-E72D297353CC}">
                <c16:uniqueId val="{00000009-BDE9-47AE-9BBF-02DA6D8672E9}"/>
              </c:ext>
            </c:extLst>
          </c:dPt>
          <c:dPt>
            <c:idx val="5"/>
            <c:invertIfNegative val="0"/>
            <c:bubble3D val="0"/>
            <c:spPr>
              <a:solidFill>
                <a:srgbClr val="BDD7EE">
                  <a:alpha val="88000"/>
                </a:srgbClr>
              </a:solidFill>
              <a:ln w="0">
                <a:solidFill>
                  <a:srgbClr val="203864"/>
                </a:solidFill>
              </a:ln>
            </c:spPr>
            <c:extLst>
              <c:ext xmlns:c16="http://schemas.microsoft.com/office/drawing/2014/chart" uri="{C3380CC4-5D6E-409C-BE32-E72D297353CC}">
                <c16:uniqueId val="{0000000B-BDE9-47AE-9BBF-02DA6D8672E9}"/>
              </c:ext>
            </c:extLst>
          </c:dPt>
          <c:dPt>
            <c:idx val="6"/>
            <c:invertIfNegative val="0"/>
            <c:bubble3D val="0"/>
            <c:spPr>
              <a:solidFill>
                <a:srgbClr val="C00000">
                  <a:alpha val="88000"/>
                </a:srgbClr>
              </a:solidFill>
              <a:ln w="0">
                <a:solidFill>
                  <a:srgbClr val="203864"/>
                </a:solidFill>
              </a:ln>
            </c:spPr>
            <c:extLst>
              <c:ext xmlns:c16="http://schemas.microsoft.com/office/drawing/2014/chart" uri="{C3380CC4-5D6E-409C-BE32-E72D297353CC}">
                <c16:uniqueId val="{0000000D-BDE9-47AE-9BBF-02DA6D8672E9}"/>
              </c:ext>
            </c:extLst>
          </c:dPt>
          <c:dPt>
            <c:idx val="7"/>
            <c:invertIfNegative val="0"/>
            <c:bubble3D val="0"/>
            <c:spPr>
              <a:solidFill>
                <a:srgbClr val="A6A6A6">
                  <a:alpha val="88000"/>
                </a:srgbClr>
              </a:solidFill>
              <a:ln w="0">
                <a:solidFill>
                  <a:srgbClr val="203864"/>
                </a:solidFill>
              </a:ln>
            </c:spPr>
            <c:extLst>
              <c:ext xmlns:c16="http://schemas.microsoft.com/office/drawing/2014/chart" uri="{C3380CC4-5D6E-409C-BE32-E72D297353CC}">
                <c16:uniqueId val="{0000000F-BDE9-47AE-9BBF-02DA6D8672E9}"/>
              </c:ext>
            </c:extLst>
          </c:dPt>
          <c:dPt>
            <c:idx val="8"/>
            <c:invertIfNegative val="0"/>
            <c:bubble3D val="0"/>
            <c:spPr>
              <a:solidFill>
                <a:srgbClr val="002060">
                  <a:alpha val="88000"/>
                </a:srgbClr>
              </a:solidFill>
              <a:ln w="0">
                <a:solidFill>
                  <a:srgbClr val="203864"/>
                </a:solidFill>
              </a:ln>
            </c:spPr>
            <c:extLst>
              <c:ext xmlns:c16="http://schemas.microsoft.com/office/drawing/2014/chart" uri="{C3380CC4-5D6E-409C-BE32-E72D297353CC}">
                <c16:uniqueId val="{00000011-BDE9-47AE-9BBF-02DA6D8672E9}"/>
              </c:ext>
            </c:extLst>
          </c:dPt>
          <c:dPt>
            <c:idx val="9"/>
            <c:invertIfNegative val="0"/>
            <c:bubble3D val="0"/>
            <c:spPr>
              <a:solidFill>
                <a:srgbClr val="F4B183">
                  <a:alpha val="88000"/>
                </a:srgbClr>
              </a:solidFill>
              <a:ln w="0">
                <a:solidFill>
                  <a:srgbClr val="203864"/>
                </a:solidFill>
              </a:ln>
            </c:spPr>
            <c:extLst>
              <c:ext xmlns:c16="http://schemas.microsoft.com/office/drawing/2014/chart" uri="{C3380CC4-5D6E-409C-BE32-E72D297353CC}">
                <c16:uniqueId val="{00000013-BDE9-47AE-9BBF-02DA6D8672E9}"/>
              </c:ext>
            </c:extLst>
          </c:dPt>
          <c:dPt>
            <c:idx val="10"/>
            <c:invertIfNegative val="0"/>
            <c:bubble3D val="0"/>
            <c:spPr>
              <a:solidFill>
                <a:srgbClr val="92D050">
                  <a:alpha val="88000"/>
                </a:srgbClr>
              </a:solidFill>
              <a:ln w="0">
                <a:solidFill>
                  <a:srgbClr val="203864"/>
                </a:solidFill>
              </a:ln>
            </c:spPr>
            <c:extLst>
              <c:ext xmlns:c16="http://schemas.microsoft.com/office/drawing/2014/chart" uri="{C3380CC4-5D6E-409C-BE32-E72D297353CC}">
                <c16:uniqueId val="{00000015-BDE9-47AE-9BBF-02DA6D8672E9}"/>
              </c:ext>
            </c:extLst>
          </c:dPt>
          <c:dLbls>
            <c:dLbl>
              <c:idx val="0"/>
              <c:layout>
                <c:manualLayout>
                  <c:x val="1.9379847918550901E-2"/>
                  <c:y val="-2.26308311514282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1-BDE9-47AE-9BBF-02DA6D8672E9}"/>
                </c:ext>
              </c:extLst>
            </c:dLbl>
            <c:dLbl>
              <c:idx val="1"/>
              <c:layout>
                <c:manualLayout>
                  <c:x val="1.6090892747995501E-2"/>
                  <c:y val="-9.3138540499195406E-3"/>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BDE9-47AE-9BBF-02DA6D8672E9}"/>
                </c:ext>
              </c:extLst>
            </c:dLbl>
            <c:dLbl>
              <c:idx val="2"/>
              <c:layout>
                <c:manualLayout>
                  <c:x val="1.26653435541095E-2"/>
                  <c:y val="-2.8994168369908601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BDE9-47AE-9BBF-02DA6D8672E9}"/>
                </c:ext>
              </c:extLst>
            </c:dLbl>
            <c:dLbl>
              <c:idx val="3"/>
              <c:layout>
                <c:manualLayout>
                  <c:x val="7.30164954036979E-3"/>
                  <c:y val="-2.95843943804789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7-BDE9-47AE-9BBF-02DA6D8672E9}"/>
                </c:ext>
              </c:extLst>
            </c:dLbl>
            <c:dLbl>
              <c:idx val="4"/>
              <c:layout>
                <c:manualLayout>
                  <c:x val="5.7025132132456002E-3"/>
                  <c:y val="-1.5972512331507701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9-BDE9-47AE-9BBF-02DA6D8672E9}"/>
                </c:ext>
              </c:extLst>
            </c:dLbl>
            <c:dLbl>
              <c:idx val="5"/>
              <c:layout>
                <c:manualLayout>
                  <c:x val="1.1627943767303001E-2"/>
                  <c:y val="-1.9744100340611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B-BDE9-47AE-9BBF-02DA6D8672E9}"/>
                </c:ext>
              </c:extLst>
            </c:dLbl>
            <c:dLbl>
              <c:idx val="6"/>
              <c:layout>
                <c:manualLayout>
                  <c:x val="7.3059360730592902E-3"/>
                  <c:y val="-3.12907388720769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D-BDE9-47AE-9BBF-02DA6D8672E9}"/>
                </c:ext>
              </c:extLst>
            </c:dLbl>
            <c:dLbl>
              <c:idx val="7"/>
              <c:layout>
                <c:manualLayout>
                  <c:x val="9.5773782248711192E-3"/>
                  <c:y val="-2.86990553646233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F-BDE9-47AE-9BBF-02DA6D8672E9}"/>
                </c:ext>
              </c:extLst>
            </c:dLbl>
            <c:dLbl>
              <c:idx val="8"/>
              <c:layout>
                <c:manualLayout>
                  <c:x val="1.31155934275338E-2"/>
                  <c:y val="-2.6402758622200099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1-BDE9-47AE-9BBF-02DA6D8672E9}"/>
                </c:ext>
              </c:extLst>
            </c:dLbl>
            <c:dLbl>
              <c:idx val="9"/>
              <c:layout>
                <c:manualLayout>
                  <c:x val="2.0644590659044199E-2"/>
                  <c:y val="-2.6402758622200002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3-BDE9-47AE-9BBF-02DA6D8672E9}"/>
                </c:ext>
              </c:extLst>
            </c:dLbl>
            <c:dLbl>
              <c:idx val="10"/>
              <c:layout>
                <c:manualLayout>
                  <c:x val="2.0754938818501E-2"/>
                  <c:y val="-3.3061143144043098E-2"/>
                </c:manualLayout>
              </c:layout>
              <c:spPr>
                <a:solidFill>
                  <a:srgbClr val="4472C4"/>
                </a:solidFill>
              </c:spPr>
              <c:txPr>
                <a:bodyPr wrap="square"/>
                <a:lstStyle/>
                <a:p>
                  <a:pPr>
                    <a:defRPr sz="900" b="1" u="none" strike="noStrike">
                      <a:solidFill>
                        <a:srgbClr val="000000"/>
                      </a:solidFill>
                      <a:uFillTx/>
                      <a:latin typeface="Calibri"/>
                    </a:defRPr>
                  </a:pPr>
                  <a:endParaRPr lang="es-419"/>
                </a:p>
              </c:txPr>
              <c:showLegendKey val="0"/>
              <c:showVal val="1"/>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15-BDE9-47AE-9BBF-02DA6D8672E9}"/>
                </c:ext>
              </c:extLst>
            </c:dLbl>
            <c:spPr>
              <a:solidFill>
                <a:srgbClr val="4472C4"/>
              </a:solidFill>
            </c:spPr>
            <c:txPr>
              <a:bodyPr wrap="square"/>
              <a:lstStyle/>
              <a:p>
                <a:pPr>
                  <a:defRPr sz="900" b="1" u="none" strike="noStrike">
                    <a:solidFill>
                      <a:srgbClr val="000000"/>
                    </a:solidFill>
                    <a:uFillTx/>
                    <a:latin typeface="Calibri"/>
                    <a:ea typeface="Calibri"/>
                  </a:defRPr>
                </a:pPr>
                <a:endParaRPr lang="es-419"/>
              </a:p>
            </c:txP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15:leaderLines>
                  <c:spPr>
                    <a:ln>
                      <a:solidFill>
                        <a:srgbClr val="203864"/>
                      </a:solidFill>
                    </a:ln>
                  </c:spPr>
                </c15:leaderLines>
              </c:ext>
            </c:extLst>
          </c:dLbls>
          <c:cat>
            <c:strRef>
              <c:f>GRAFICO!$B$6:$B$16</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GRAFICO!$C$6:$C$16</c:f>
              <c:numCache>
                <c:formatCode>0.00\ %</c:formatCode>
                <c:ptCount val="11"/>
                <c:pt idx="0">
                  <c:v>0.5</c:v>
                </c:pt>
                <c:pt idx="1">
                  <c:v>0.45275075963238398</c:v>
                </c:pt>
                <c:pt idx="2">
                  <c:v>0.25763978302728752</c:v>
                </c:pt>
                <c:pt idx="3">
                  <c:v>0.21880898623642892</c:v>
                </c:pt>
                <c:pt idx="4">
                  <c:v>0.31018518518518517</c:v>
                </c:pt>
                <c:pt idx="5">
                  <c:v>0.47545454545454552</c:v>
                </c:pt>
                <c:pt idx="6">
                  <c:v>0.46127946127946129</c:v>
                </c:pt>
                <c:pt idx="7">
                  <c:v>0.40853617308992562</c:v>
                </c:pt>
                <c:pt idx="8">
                  <c:v>0.36721250059093147</c:v>
                </c:pt>
                <c:pt idx="9">
                  <c:v>0.44255555555555554</c:v>
                </c:pt>
                <c:pt idx="10">
                  <c:v>0.20238095238095238</c:v>
                </c:pt>
              </c:numCache>
            </c:numRef>
          </c:val>
          <c:extLst>
            <c:ext xmlns:c16="http://schemas.microsoft.com/office/drawing/2014/chart" uri="{C3380CC4-5D6E-409C-BE32-E72D297353CC}">
              <c16:uniqueId val="{00000016-BDE9-47AE-9BBF-02DA6D8672E9}"/>
            </c:ext>
          </c:extLst>
        </c:ser>
        <c:dLbls>
          <c:showLegendKey val="0"/>
          <c:showVal val="0"/>
          <c:showCatName val="0"/>
          <c:showSerName val="0"/>
          <c:showPercent val="0"/>
          <c:showBubbleSize val="0"/>
        </c:dLbls>
        <c:gapWidth val="84"/>
        <c:shape val="box"/>
        <c:axId val="74403458"/>
        <c:axId val="61799558"/>
        <c:axId val="0"/>
      </c:bar3DChart>
      <c:catAx>
        <c:axId val="74403458"/>
        <c:scaling>
          <c:orientation val="minMax"/>
        </c:scaling>
        <c:delete val="0"/>
        <c:axPos val="b"/>
        <c:numFmt formatCode="General" sourceLinked="0"/>
        <c:majorTickMark val="none"/>
        <c:minorTickMark val="none"/>
        <c:tickLblPos val="nextTo"/>
        <c:spPr>
          <a:ln w="6480">
            <a:noFill/>
          </a:ln>
        </c:spPr>
        <c:txPr>
          <a:bodyPr/>
          <a:lstStyle/>
          <a:p>
            <a:pPr>
              <a:defRPr sz="900" b="1" u="none" strike="noStrike">
                <a:solidFill>
                  <a:srgbClr val="BFBFBF"/>
                </a:solidFill>
                <a:uFillTx/>
                <a:latin typeface="Calibri"/>
                <a:ea typeface="Calibri"/>
              </a:defRPr>
            </a:pPr>
            <a:endParaRPr lang="es-419"/>
          </a:p>
        </c:txPr>
        <c:crossAx val="61799558"/>
        <c:crosses val="autoZero"/>
        <c:auto val="1"/>
        <c:lblAlgn val="ctr"/>
        <c:lblOffset val="100"/>
        <c:noMultiLvlLbl val="0"/>
      </c:catAx>
      <c:valAx>
        <c:axId val="61799558"/>
        <c:scaling>
          <c:orientation val="minMax"/>
        </c:scaling>
        <c:delete val="1"/>
        <c:axPos val="l"/>
        <c:numFmt formatCode="0.00\ %" sourceLinked="1"/>
        <c:majorTickMark val="out"/>
        <c:minorTickMark val="none"/>
        <c:tickLblPos val="nextTo"/>
        <c:crossAx val="74403458"/>
        <c:crosses val="autoZero"/>
        <c:crossBetween val="between"/>
      </c:valAx>
    </c:plotArea>
    <c:plotVisOnly val="1"/>
    <c:dispBlanksAs val="gap"/>
    <c:showDLblsOverMax val="1"/>
  </c:chart>
  <c:spPr>
    <a:solidFill>
      <a:srgbClr val="000000"/>
    </a:solidFill>
    <a:ln w="6480">
      <a:solidFill>
        <a:srgbClr val="8B8B8B"/>
      </a:solidFill>
      <a:round/>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120960</xdr:colOff>
      <xdr:row>1</xdr:row>
      <xdr:rowOff>208800</xdr:rowOff>
    </xdr:from>
    <xdr:to>
      <xdr:col>2</xdr:col>
      <xdr:colOff>932400</xdr:colOff>
      <xdr:row>3</xdr:row>
      <xdr:rowOff>264600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7729" t="5295" r="70844" b="86232"/>
        <a:stretch/>
      </xdr:blipFill>
      <xdr:spPr>
        <a:xfrm>
          <a:off x="825840" y="399240"/>
          <a:ext cx="2955960" cy="1313280"/>
        </a:xfrm>
        <a:prstGeom prst="rect">
          <a:avLst/>
        </a:prstGeom>
        <a:ln w="0">
          <a:noFill/>
        </a:ln>
      </xdr:spPr>
    </xdr:pic>
    <xdr:clientData/>
  </xdr:twoCellAnchor>
  <xdr:twoCellAnchor editAs="oneCell">
    <xdr:from>
      <xdr:col>2</xdr:col>
      <xdr:colOff>1088640</xdr:colOff>
      <xdr:row>1</xdr:row>
      <xdr:rowOff>200880</xdr:rowOff>
    </xdr:from>
    <xdr:to>
      <xdr:col>4</xdr:col>
      <xdr:colOff>1449360</xdr:colOff>
      <xdr:row>3</xdr:row>
      <xdr:rowOff>322920</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938040" y="391320"/>
          <a:ext cx="4136400" cy="1379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1193425</xdr:colOff>
      <xdr:row>30</xdr:row>
      <xdr:rowOff>113179</xdr:rowOff>
    </xdr:from>
    <xdr:to>
      <xdr:col>13</xdr:col>
      <xdr:colOff>963705</xdr:colOff>
      <xdr:row>57</xdr:row>
      <xdr:rowOff>33617</xdr:rowOff>
    </xdr:to>
    <xdr:graphicFrame macro="">
      <xdr:nvGraphicFramePr>
        <xdr:cNvPr id="2" name="Gráfico 1">
          <a:extLst>
            <a:ext uri="{FF2B5EF4-FFF2-40B4-BE49-F238E27FC236}">
              <a16:creationId xmlns:a16="http://schemas.microsoft.com/office/drawing/2014/main" id="{6A1B83FC-F2D3-F09A-101C-EAF67EC2E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166680</xdr:rowOff>
    </xdr:from>
    <xdr:to>
      <xdr:col>7</xdr:col>
      <xdr:colOff>180720</xdr:colOff>
      <xdr:row>37</xdr:row>
      <xdr:rowOff>9360</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71"/>
  <sheetViews>
    <sheetView showGridLines="0" tabSelected="1" topLeftCell="K24" zoomScale="70" zoomScaleNormal="70" workbookViewId="0">
      <selection activeCell="K28" sqref="K28"/>
    </sheetView>
  </sheetViews>
  <sheetFormatPr baseColWidth="10" defaultColWidth="0" defaultRowHeight="15" zeroHeight="1" x14ac:dyDescent="0.25"/>
  <cols>
    <col min="1" max="1" width="10" style="1" customWidth="1"/>
    <col min="2" max="2" width="30.42578125" style="2" customWidth="1"/>
    <col min="3" max="3" width="30.85546875" style="2" customWidth="1"/>
    <col min="4" max="4" width="22.7109375" style="2" customWidth="1"/>
    <col min="5" max="5" width="23.85546875" style="2" customWidth="1"/>
    <col min="6" max="6" width="24.7109375" style="2" customWidth="1"/>
    <col min="7" max="7" width="36.28515625" style="2" customWidth="1"/>
    <col min="8" max="8" width="26.85546875" style="3" customWidth="1"/>
    <col min="9" max="9" width="27.28515625" style="2" customWidth="1"/>
    <col min="10" max="10" width="31.42578125" style="2" customWidth="1"/>
    <col min="11" max="11" width="15.42578125" style="2" customWidth="1"/>
    <col min="12" max="12" width="15.140625" style="2" customWidth="1"/>
    <col min="13" max="13" width="15.85546875" style="2" customWidth="1"/>
    <col min="14" max="14" width="21.42578125" style="2" customWidth="1"/>
    <col min="15" max="15" width="15.7109375" style="2" customWidth="1"/>
    <col min="16" max="16" width="18" style="2" customWidth="1"/>
    <col min="17" max="17" width="11.42578125" style="2" customWidth="1"/>
    <col min="18" max="18" width="20.42578125" style="2" customWidth="1"/>
    <col min="19" max="19" width="22.7109375" style="2" customWidth="1"/>
    <col min="20" max="20" width="14.7109375" style="2" customWidth="1"/>
    <col min="21" max="21" width="15" style="2" customWidth="1"/>
    <col min="22" max="22" width="10.7109375" style="2" customWidth="1"/>
    <col min="23" max="23" width="14" style="2" customWidth="1"/>
    <col min="24" max="24" width="14.5703125" style="2" customWidth="1"/>
    <col min="25" max="31" width="10.7109375" style="2" customWidth="1"/>
    <col min="32" max="32" width="22.85546875" style="4" customWidth="1"/>
    <col min="33" max="33" width="21.42578125" style="4" customWidth="1"/>
    <col min="34" max="34" width="18.28515625" style="2" customWidth="1"/>
    <col min="35" max="35" width="18.85546875" style="2" customWidth="1"/>
    <col min="36" max="36" width="92.42578125" style="2" customWidth="1"/>
    <col min="37" max="37" width="53" style="2" customWidth="1"/>
    <col min="38" max="38" width="87.7109375" style="5" customWidth="1"/>
    <col min="39" max="39" width="59.28515625" style="5" customWidth="1"/>
    <col min="40" max="40" width="50" style="5" customWidth="1"/>
    <col min="41" max="41" width="52.140625" style="5" customWidth="1"/>
    <col min="42" max="42" width="53.28515625" style="5" customWidth="1"/>
    <col min="43" max="43" width="61.85546875" style="6" customWidth="1"/>
    <col min="44" max="44" width="6.85546875" style="2" customWidth="1"/>
    <col min="45" max="45" width="11.5703125" style="2" hidden="1" customWidth="1"/>
    <col min="46" max="16384" width="14.42578125" style="2" hidden="1"/>
  </cols>
  <sheetData>
    <row r="1" spans="1:44" s="8" customFormat="1" ht="15" customHeight="1" x14ac:dyDescent="0.25">
      <c r="A1" s="7"/>
      <c r="H1" s="9"/>
      <c r="AF1" s="10"/>
      <c r="AG1" s="10"/>
      <c r="AL1" s="11"/>
      <c r="AM1" s="11"/>
      <c r="AN1" s="11"/>
      <c r="AO1" s="11"/>
      <c r="AP1" s="11"/>
      <c r="AQ1" s="12"/>
    </row>
    <row r="2" spans="1:44" s="8" customFormat="1" ht="49.5" customHeight="1" x14ac:dyDescent="0.2">
      <c r="A2" s="163"/>
      <c r="B2" s="164"/>
      <c r="C2" s="164"/>
      <c r="D2" s="164"/>
      <c r="E2" s="164"/>
      <c r="F2" s="165" t="s">
        <v>0</v>
      </c>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3" t="s">
        <v>1</v>
      </c>
    </row>
    <row r="3" spans="1:44" s="8" customFormat="1" ht="49.5" customHeight="1" x14ac:dyDescent="0.2">
      <c r="A3" s="163"/>
      <c r="B3" s="164"/>
      <c r="C3" s="164"/>
      <c r="D3" s="164"/>
      <c r="E3" s="164"/>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3" t="s">
        <v>2</v>
      </c>
    </row>
    <row r="4" spans="1:44" s="8" customFormat="1" ht="49.5" customHeight="1" x14ac:dyDescent="0.2">
      <c r="A4" s="163"/>
      <c r="B4" s="164"/>
      <c r="C4" s="164"/>
      <c r="D4" s="164"/>
      <c r="E4" s="164"/>
      <c r="F4" s="166" t="s">
        <v>3</v>
      </c>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3" t="s">
        <v>4</v>
      </c>
    </row>
    <row r="5" spans="1:44" s="8" customFormat="1" ht="12" customHeight="1" x14ac:dyDescent="0.2">
      <c r="A5" s="163"/>
      <c r="B5" s="14"/>
      <c r="C5" s="14"/>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6"/>
    </row>
    <row r="6" spans="1:44" s="8" customFormat="1" ht="30.75" customHeight="1" x14ac:dyDescent="0.2">
      <c r="A6" s="163"/>
      <c r="B6" s="17" t="s">
        <v>5</v>
      </c>
      <c r="C6" s="18">
        <v>2024</v>
      </c>
      <c r="D6" s="167" t="s">
        <v>6</v>
      </c>
      <c r="E6" s="167"/>
      <c r="F6" s="167"/>
      <c r="G6" s="167"/>
      <c r="H6" s="167"/>
      <c r="I6" s="167"/>
      <c r="J6" s="167"/>
      <c r="K6" s="167"/>
      <c r="L6" s="167"/>
      <c r="M6" s="167"/>
      <c r="N6" s="167"/>
      <c r="O6" s="167"/>
      <c r="P6" s="167"/>
      <c r="Q6" s="19"/>
      <c r="R6" s="167" t="s">
        <v>7</v>
      </c>
      <c r="S6" s="167"/>
      <c r="T6" s="167"/>
      <c r="U6" s="167"/>
      <c r="V6" s="167"/>
      <c r="W6" s="167"/>
      <c r="X6" s="167"/>
      <c r="Y6" s="167"/>
      <c r="Z6" s="167"/>
      <c r="AA6" s="167"/>
      <c r="AB6" s="167"/>
      <c r="AC6" s="167"/>
      <c r="AD6" s="167"/>
      <c r="AE6" s="167"/>
      <c r="AF6" s="167"/>
      <c r="AG6" s="167"/>
      <c r="AH6" s="167"/>
      <c r="AI6" s="167"/>
      <c r="AJ6" s="168" t="s">
        <v>8</v>
      </c>
      <c r="AK6" s="168"/>
      <c r="AL6" s="168"/>
      <c r="AM6" s="168"/>
      <c r="AN6" s="168"/>
      <c r="AO6" s="168"/>
      <c r="AP6" s="168"/>
      <c r="AQ6" s="168"/>
    </row>
    <row r="7" spans="1:44" s="8" customFormat="1" ht="30.75" customHeight="1" x14ac:dyDescent="0.2">
      <c r="A7" s="163"/>
      <c r="B7" s="20" t="s">
        <v>9</v>
      </c>
      <c r="C7" s="21" t="s">
        <v>10</v>
      </c>
      <c r="D7" s="169" t="s">
        <v>11</v>
      </c>
      <c r="E7" s="169"/>
      <c r="F7" s="169"/>
      <c r="G7" s="169"/>
      <c r="H7" s="169"/>
      <c r="I7" s="169"/>
      <c r="J7" s="169"/>
      <c r="K7" s="169"/>
      <c r="L7" s="169"/>
      <c r="M7" s="169"/>
      <c r="N7" s="169"/>
      <c r="O7" s="169"/>
      <c r="P7" s="169"/>
      <c r="Q7" s="19"/>
      <c r="R7" s="170" t="s">
        <v>12</v>
      </c>
      <c r="S7" s="170"/>
      <c r="T7" s="170"/>
      <c r="U7" s="170"/>
      <c r="V7" s="170"/>
      <c r="W7" s="170"/>
      <c r="X7" s="170"/>
      <c r="Y7" s="170"/>
      <c r="Z7" s="170"/>
      <c r="AA7" s="170"/>
      <c r="AB7" s="170"/>
      <c r="AC7" s="170"/>
      <c r="AD7" s="170"/>
      <c r="AE7" s="170"/>
      <c r="AF7" s="170"/>
      <c r="AG7" s="170"/>
      <c r="AH7" s="170"/>
      <c r="AI7" s="170"/>
      <c r="AJ7" s="171" t="s">
        <v>13</v>
      </c>
      <c r="AK7" s="171"/>
      <c r="AL7" s="171"/>
      <c r="AM7" s="171"/>
      <c r="AN7" s="171"/>
      <c r="AO7" s="171"/>
      <c r="AP7" s="171"/>
      <c r="AQ7" s="171"/>
    </row>
    <row r="8" spans="1:44" s="8" customFormat="1" ht="15" customHeight="1" x14ac:dyDescent="0.25">
      <c r="A8" s="7"/>
      <c r="B8" s="22"/>
      <c r="C8" s="23"/>
      <c r="D8" s="23"/>
      <c r="E8" s="23"/>
      <c r="F8" s="23"/>
      <c r="G8" s="23"/>
      <c r="H8" s="24"/>
      <c r="I8" s="23"/>
      <c r="J8" s="23"/>
      <c r="K8" s="23"/>
      <c r="L8" s="23"/>
      <c r="M8" s="23"/>
      <c r="N8" s="23"/>
      <c r="O8" s="23"/>
      <c r="P8" s="23"/>
      <c r="Q8" s="23"/>
      <c r="R8" s="23"/>
      <c r="S8" s="23"/>
      <c r="T8" s="23"/>
      <c r="U8" s="23"/>
      <c r="V8" s="23"/>
      <c r="W8" s="23"/>
      <c r="X8" s="23"/>
      <c r="Y8" s="23"/>
      <c r="Z8" s="23"/>
      <c r="AA8" s="23"/>
      <c r="AB8" s="23"/>
      <c r="AC8" s="23"/>
      <c r="AD8" s="23"/>
      <c r="AE8" s="23"/>
      <c r="AF8" s="25"/>
      <c r="AG8" s="25"/>
      <c r="AH8" s="23"/>
      <c r="AI8" s="23"/>
      <c r="AJ8" s="15"/>
      <c r="AK8" s="15"/>
      <c r="AL8" s="15"/>
      <c r="AM8" s="15"/>
      <c r="AN8" s="15"/>
      <c r="AO8" s="15"/>
      <c r="AP8" s="15"/>
      <c r="AQ8" s="15"/>
    </row>
    <row r="9" spans="1:44" s="8" customFormat="1" ht="25.5" customHeight="1" x14ac:dyDescent="0.2">
      <c r="A9" s="162"/>
      <c r="B9" s="162"/>
      <c r="C9" s="162"/>
      <c r="D9" s="162"/>
      <c r="E9" s="162"/>
      <c r="F9" s="162"/>
      <c r="G9" s="162"/>
      <c r="H9" s="160" t="s">
        <v>14</v>
      </c>
      <c r="I9" s="160"/>
      <c r="J9" s="160"/>
      <c r="K9" s="160"/>
      <c r="L9" s="160"/>
      <c r="M9" s="160"/>
      <c r="N9" s="160"/>
      <c r="O9" s="161"/>
      <c r="P9" s="161"/>
      <c r="Q9" s="160" t="s">
        <v>15</v>
      </c>
      <c r="R9" s="160"/>
      <c r="S9" s="160"/>
      <c r="T9" s="160" t="s">
        <v>16</v>
      </c>
      <c r="U9" s="160"/>
      <c r="V9" s="160"/>
      <c r="W9" s="160" t="s">
        <v>17</v>
      </c>
      <c r="X9" s="160"/>
      <c r="Y9" s="160"/>
      <c r="Z9" s="160" t="s">
        <v>18</v>
      </c>
      <c r="AA9" s="160"/>
      <c r="AB9" s="160"/>
      <c r="AC9" s="160" t="s">
        <v>19</v>
      </c>
      <c r="AD9" s="160"/>
      <c r="AE9" s="160"/>
      <c r="AF9" s="161"/>
      <c r="AG9" s="161"/>
      <c r="AH9" s="161"/>
      <c r="AI9" s="161"/>
      <c r="AJ9" s="161"/>
      <c r="AK9" s="161"/>
      <c r="AL9" s="161"/>
      <c r="AM9" s="161"/>
      <c r="AN9" s="161"/>
      <c r="AO9" s="161"/>
      <c r="AP9" s="161"/>
      <c r="AQ9" s="161"/>
    </row>
    <row r="10" spans="1:44" s="8" customFormat="1" ht="80.25" customHeight="1" thickBot="1" x14ac:dyDescent="0.25">
      <c r="A10" s="26" t="s">
        <v>20</v>
      </c>
      <c r="B10" s="26" t="s">
        <v>21</v>
      </c>
      <c r="C10" s="27" t="s">
        <v>22</v>
      </c>
      <c r="D10" s="27" t="s">
        <v>23</v>
      </c>
      <c r="E10" s="27" t="s">
        <v>24</v>
      </c>
      <c r="F10" s="27" t="s">
        <v>25</v>
      </c>
      <c r="G10" s="28" t="s">
        <v>26</v>
      </c>
      <c r="H10" s="29" t="s">
        <v>27</v>
      </c>
      <c r="I10" s="29" t="s">
        <v>28</v>
      </c>
      <c r="J10" s="29" t="s">
        <v>29</v>
      </c>
      <c r="K10" s="29" t="s">
        <v>30</v>
      </c>
      <c r="L10" s="29" t="s">
        <v>31</v>
      </c>
      <c r="M10" s="29" t="s">
        <v>32</v>
      </c>
      <c r="N10" s="29" t="s">
        <v>33</v>
      </c>
      <c r="O10" s="26" t="s">
        <v>34</v>
      </c>
      <c r="P10" s="30" t="s">
        <v>35</v>
      </c>
      <c r="Q10" s="29" t="s">
        <v>36</v>
      </c>
      <c r="R10" s="29" t="s">
        <v>37</v>
      </c>
      <c r="S10" s="29" t="s">
        <v>38</v>
      </c>
      <c r="T10" s="31" t="s">
        <v>39</v>
      </c>
      <c r="U10" s="31" t="s">
        <v>40</v>
      </c>
      <c r="V10" s="31" t="s">
        <v>41</v>
      </c>
      <c r="W10" s="31" t="s">
        <v>39</v>
      </c>
      <c r="X10" s="31" t="s">
        <v>40</v>
      </c>
      <c r="Y10" s="31" t="s">
        <v>42</v>
      </c>
      <c r="Z10" s="31" t="s">
        <v>39</v>
      </c>
      <c r="AA10" s="31" t="s">
        <v>40</v>
      </c>
      <c r="AB10" s="32" t="s">
        <v>43</v>
      </c>
      <c r="AC10" s="31" t="s">
        <v>39</v>
      </c>
      <c r="AD10" s="31" t="s">
        <v>40</v>
      </c>
      <c r="AE10" s="31" t="s">
        <v>44</v>
      </c>
      <c r="AF10" s="33" t="s">
        <v>45</v>
      </c>
      <c r="AG10" s="34" t="s">
        <v>46</v>
      </c>
      <c r="AH10" s="27" t="s">
        <v>47</v>
      </c>
      <c r="AI10" s="30" t="s">
        <v>48</v>
      </c>
      <c r="AJ10" s="35" t="s">
        <v>49</v>
      </c>
      <c r="AK10" s="36" t="s">
        <v>50</v>
      </c>
      <c r="AL10" s="37" t="s">
        <v>51</v>
      </c>
      <c r="AM10" s="38" t="s">
        <v>52</v>
      </c>
      <c r="AN10" s="37" t="s">
        <v>53</v>
      </c>
      <c r="AO10" s="37" t="s">
        <v>54</v>
      </c>
      <c r="AP10" s="37" t="s">
        <v>55</v>
      </c>
      <c r="AQ10" s="37" t="s">
        <v>56</v>
      </c>
    </row>
    <row r="11" spans="1:44" s="55" customFormat="1" ht="141.75" customHeight="1" thickBot="1" x14ac:dyDescent="0.25">
      <c r="A11" s="39">
        <v>1</v>
      </c>
      <c r="B11" s="40" t="s">
        <v>57</v>
      </c>
      <c r="C11" s="40" t="s">
        <v>58</v>
      </c>
      <c r="D11" s="41" t="s">
        <v>59</v>
      </c>
      <c r="E11" s="40" t="s">
        <v>60</v>
      </c>
      <c r="F11" s="40" t="s">
        <v>61</v>
      </c>
      <c r="G11" s="40" t="s">
        <v>62</v>
      </c>
      <c r="H11" s="40" t="s">
        <v>63</v>
      </c>
      <c r="I11" s="40" t="s">
        <v>64</v>
      </c>
      <c r="J11" s="40" t="s">
        <v>65</v>
      </c>
      <c r="K11" s="40" t="s">
        <v>66</v>
      </c>
      <c r="L11" s="40" t="s">
        <v>67</v>
      </c>
      <c r="M11" s="42">
        <v>89</v>
      </c>
      <c r="N11" s="40" t="s">
        <v>68</v>
      </c>
      <c r="O11" s="43" t="s">
        <v>69</v>
      </c>
      <c r="P11" s="43">
        <v>1</v>
      </c>
      <c r="Q11" s="40" t="s">
        <v>70</v>
      </c>
      <c r="R11" s="44">
        <v>45292</v>
      </c>
      <c r="S11" s="44">
        <v>45657</v>
      </c>
      <c r="T11" s="45"/>
      <c r="U11" s="45"/>
      <c r="V11" s="46" t="s">
        <v>71</v>
      </c>
      <c r="W11" s="46"/>
      <c r="X11" s="47"/>
      <c r="Y11" s="46" t="s">
        <v>71</v>
      </c>
      <c r="Z11" s="46"/>
      <c r="AA11" s="47">
        <v>90</v>
      </c>
      <c r="AB11" s="46"/>
      <c r="AC11" s="46"/>
      <c r="AD11" s="48"/>
      <c r="AE11" s="46" t="s">
        <v>71</v>
      </c>
      <c r="AF11" s="49">
        <f>+(AB11)/90</f>
        <v>0</v>
      </c>
      <c r="AG11" s="155">
        <f>+(AF11+AF12+AF13+AF14)/4</f>
        <v>0.375</v>
      </c>
      <c r="AH11" s="46" t="s">
        <v>72</v>
      </c>
      <c r="AI11" s="46" t="s">
        <v>73</v>
      </c>
      <c r="AJ11" s="50" t="s">
        <v>74</v>
      </c>
      <c r="AK11" s="51" t="s">
        <v>71</v>
      </c>
      <c r="AL11" s="52" t="s">
        <v>75</v>
      </c>
      <c r="AM11" s="53" t="s">
        <v>686</v>
      </c>
      <c r="AN11" s="52"/>
      <c r="AO11" s="52"/>
      <c r="AP11" s="52"/>
      <c r="AQ11" s="52"/>
      <c r="AR11" s="54"/>
    </row>
    <row r="12" spans="1:44" s="55" customFormat="1" ht="152.25" customHeight="1" thickBot="1" x14ac:dyDescent="0.25">
      <c r="A12" s="39">
        <v>2</v>
      </c>
      <c r="B12" s="56" t="s">
        <v>57</v>
      </c>
      <c r="C12" s="40" t="s">
        <v>58</v>
      </c>
      <c r="D12" s="41" t="s">
        <v>59</v>
      </c>
      <c r="E12" s="40" t="s">
        <v>60</v>
      </c>
      <c r="F12" s="40" t="s">
        <v>61</v>
      </c>
      <c r="G12" s="40" t="s">
        <v>76</v>
      </c>
      <c r="H12" s="40" t="s">
        <v>77</v>
      </c>
      <c r="I12" s="40" t="s">
        <v>78</v>
      </c>
      <c r="J12" s="40" t="s">
        <v>79</v>
      </c>
      <c r="K12" s="40" t="s">
        <v>80</v>
      </c>
      <c r="L12" s="40" t="s">
        <v>67</v>
      </c>
      <c r="M12" s="57">
        <v>2</v>
      </c>
      <c r="N12" s="40" t="s">
        <v>81</v>
      </c>
      <c r="O12" s="58">
        <v>4</v>
      </c>
      <c r="P12" s="43">
        <v>0.25</v>
      </c>
      <c r="Q12" s="40" t="s">
        <v>82</v>
      </c>
      <c r="R12" s="44">
        <v>45292</v>
      </c>
      <c r="S12" s="44">
        <v>45657</v>
      </c>
      <c r="T12" s="59">
        <v>1</v>
      </c>
      <c r="U12" s="45">
        <v>1</v>
      </c>
      <c r="V12" s="46">
        <f>+(T12/U12)*$P$12</f>
        <v>0.25</v>
      </c>
      <c r="W12" s="42">
        <v>1</v>
      </c>
      <c r="X12" s="45">
        <v>1</v>
      </c>
      <c r="Y12" s="46">
        <f>+(W12/X12)*$P$12</f>
        <v>0.25</v>
      </c>
      <c r="Z12" s="46"/>
      <c r="AA12" s="45">
        <v>1</v>
      </c>
      <c r="AB12" s="46">
        <f>+(Z12/AA12)*$P$12</f>
        <v>0</v>
      </c>
      <c r="AC12" s="42"/>
      <c r="AD12" s="45">
        <v>1</v>
      </c>
      <c r="AE12" s="46">
        <f>+(AC12/AD12)*$P$12</f>
        <v>0</v>
      </c>
      <c r="AF12" s="60">
        <f t="shared" ref="AF12:AF20" si="0">+V12+Y12+AB12+AE12</f>
        <v>0.5</v>
      </c>
      <c r="AG12" s="155"/>
      <c r="AH12" s="46" t="s">
        <v>72</v>
      </c>
      <c r="AI12" s="61" t="s">
        <v>73</v>
      </c>
      <c r="AJ12" s="52" t="s">
        <v>83</v>
      </c>
      <c r="AK12" s="51" t="s">
        <v>71</v>
      </c>
      <c r="AL12" s="52" t="s">
        <v>84</v>
      </c>
      <c r="AM12" s="53" t="s">
        <v>687</v>
      </c>
      <c r="AN12" s="52"/>
      <c r="AO12" s="52"/>
      <c r="AP12" s="52"/>
      <c r="AQ12" s="52"/>
      <c r="AR12" s="54"/>
    </row>
    <row r="13" spans="1:44" s="55" customFormat="1" ht="110.25" customHeight="1" x14ac:dyDescent="0.2">
      <c r="A13" s="39">
        <v>3</v>
      </c>
      <c r="B13" s="40" t="s">
        <v>85</v>
      </c>
      <c r="C13" s="62" t="s">
        <v>58</v>
      </c>
      <c r="D13" s="41" t="s">
        <v>59</v>
      </c>
      <c r="E13" s="40" t="s">
        <v>60</v>
      </c>
      <c r="F13" s="40" t="s">
        <v>61</v>
      </c>
      <c r="G13" s="40" t="s">
        <v>86</v>
      </c>
      <c r="H13" s="40" t="s">
        <v>87</v>
      </c>
      <c r="I13" s="40" t="s">
        <v>88</v>
      </c>
      <c r="J13" s="40" t="s">
        <v>89</v>
      </c>
      <c r="K13" s="40" t="s">
        <v>80</v>
      </c>
      <c r="L13" s="40" t="s">
        <v>90</v>
      </c>
      <c r="M13" s="40">
        <v>4</v>
      </c>
      <c r="N13" s="40" t="s">
        <v>81</v>
      </c>
      <c r="O13" s="42">
        <v>4</v>
      </c>
      <c r="P13" s="43">
        <v>0.25</v>
      </c>
      <c r="Q13" s="40" t="s">
        <v>91</v>
      </c>
      <c r="R13" s="44">
        <v>45292</v>
      </c>
      <c r="S13" s="44">
        <v>45657</v>
      </c>
      <c r="T13" s="42">
        <v>1</v>
      </c>
      <c r="U13" s="45">
        <v>1</v>
      </c>
      <c r="V13" s="46">
        <f>+(T13/U13)*$P$13</f>
        <v>0.25</v>
      </c>
      <c r="W13" s="42">
        <v>1</v>
      </c>
      <c r="X13" s="45">
        <v>1</v>
      </c>
      <c r="Y13" s="46">
        <f>+(W13/X13)*$P$13</f>
        <v>0.25</v>
      </c>
      <c r="Z13" s="42"/>
      <c r="AA13" s="45">
        <v>1</v>
      </c>
      <c r="AB13" s="46">
        <f>+(Z13/AA13)*$P$13</f>
        <v>0</v>
      </c>
      <c r="AC13" s="42"/>
      <c r="AD13" s="45">
        <v>1</v>
      </c>
      <c r="AE13" s="46">
        <f>+(AC13/AD13)*$P$13</f>
        <v>0</v>
      </c>
      <c r="AF13" s="60">
        <f t="shared" si="0"/>
        <v>0.5</v>
      </c>
      <c r="AG13" s="155"/>
      <c r="AH13" s="46" t="s">
        <v>72</v>
      </c>
      <c r="AI13" s="61" t="s">
        <v>73</v>
      </c>
      <c r="AJ13" s="63" t="s">
        <v>92</v>
      </c>
      <c r="AK13" s="51" t="s">
        <v>71</v>
      </c>
      <c r="AL13" s="52" t="s">
        <v>685</v>
      </c>
      <c r="AM13" s="53" t="s">
        <v>688</v>
      </c>
      <c r="AN13" s="52"/>
      <c r="AO13" s="52"/>
      <c r="AP13" s="52"/>
      <c r="AQ13" s="52"/>
      <c r="AR13" s="54"/>
    </row>
    <row r="14" spans="1:44" s="55" customFormat="1" ht="93" customHeight="1" x14ac:dyDescent="0.2">
      <c r="A14" s="39">
        <v>4</v>
      </c>
      <c r="B14" s="40" t="s">
        <v>85</v>
      </c>
      <c r="C14" s="40" t="s">
        <v>58</v>
      </c>
      <c r="D14" s="41" t="s">
        <v>59</v>
      </c>
      <c r="E14" s="40" t="s">
        <v>60</v>
      </c>
      <c r="F14" s="40" t="s">
        <v>61</v>
      </c>
      <c r="G14" s="40" t="s">
        <v>93</v>
      </c>
      <c r="H14" s="40" t="s">
        <v>94</v>
      </c>
      <c r="I14" s="40" t="s">
        <v>95</v>
      </c>
      <c r="J14" s="40" t="s">
        <v>96</v>
      </c>
      <c r="K14" s="40" t="s">
        <v>80</v>
      </c>
      <c r="L14" s="40" t="s">
        <v>90</v>
      </c>
      <c r="M14" s="40">
        <v>3</v>
      </c>
      <c r="N14" s="40" t="s">
        <v>81</v>
      </c>
      <c r="O14" s="42">
        <v>4</v>
      </c>
      <c r="P14" s="43">
        <v>0.25</v>
      </c>
      <c r="Q14" s="40" t="s">
        <v>91</v>
      </c>
      <c r="R14" s="44">
        <v>45292</v>
      </c>
      <c r="S14" s="44">
        <v>45657</v>
      </c>
      <c r="T14" s="42">
        <v>1</v>
      </c>
      <c r="U14" s="45">
        <v>1</v>
      </c>
      <c r="V14" s="46">
        <f>+(T14/U14)*$P$14</f>
        <v>0.25</v>
      </c>
      <c r="W14" s="42">
        <v>1</v>
      </c>
      <c r="X14" s="45">
        <v>1</v>
      </c>
      <c r="Y14" s="46">
        <f>+(W14/X14)*$P$14</f>
        <v>0.25</v>
      </c>
      <c r="Z14" s="42"/>
      <c r="AA14" s="45">
        <v>1</v>
      </c>
      <c r="AB14" s="46">
        <f>+(Z14/AA14)*$P$14</f>
        <v>0</v>
      </c>
      <c r="AC14" s="42"/>
      <c r="AD14" s="45">
        <v>1</v>
      </c>
      <c r="AE14" s="46">
        <f>+(AC14/AD14)*$P$14</f>
        <v>0</v>
      </c>
      <c r="AF14" s="60">
        <f t="shared" si="0"/>
        <v>0.5</v>
      </c>
      <c r="AG14" s="155"/>
      <c r="AH14" s="46" t="s">
        <v>72</v>
      </c>
      <c r="AI14" s="61" t="s">
        <v>73</v>
      </c>
      <c r="AJ14" s="52" t="s">
        <v>97</v>
      </c>
      <c r="AK14" s="51" t="s">
        <v>71</v>
      </c>
      <c r="AL14" s="52" t="s">
        <v>98</v>
      </c>
      <c r="AM14" s="53" t="s">
        <v>689</v>
      </c>
      <c r="AN14" s="52"/>
      <c r="AO14" s="52"/>
      <c r="AP14" s="52"/>
      <c r="AQ14" s="52"/>
      <c r="AR14" s="54"/>
    </row>
    <row r="15" spans="1:44" s="54" customFormat="1" ht="213.75" customHeight="1" x14ac:dyDescent="0.2">
      <c r="A15" s="39">
        <v>5</v>
      </c>
      <c r="B15" s="40" t="s">
        <v>99</v>
      </c>
      <c r="C15" s="40" t="s">
        <v>100</v>
      </c>
      <c r="D15" s="41" t="s">
        <v>101</v>
      </c>
      <c r="E15" s="40" t="s">
        <v>102</v>
      </c>
      <c r="F15" s="40" t="s">
        <v>103</v>
      </c>
      <c r="G15" s="40" t="s">
        <v>104</v>
      </c>
      <c r="H15" s="40" t="s">
        <v>105</v>
      </c>
      <c r="I15" s="40" t="s">
        <v>106</v>
      </c>
      <c r="J15" s="40" t="s">
        <v>107</v>
      </c>
      <c r="K15" s="40" t="s">
        <v>66</v>
      </c>
      <c r="L15" s="40" t="s">
        <v>67</v>
      </c>
      <c r="M15" s="64">
        <v>0.92</v>
      </c>
      <c r="N15" s="40" t="s">
        <v>108</v>
      </c>
      <c r="O15" s="64">
        <v>0.95</v>
      </c>
      <c r="P15" s="43">
        <v>0.25</v>
      </c>
      <c r="Q15" s="40" t="s">
        <v>91</v>
      </c>
      <c r="R15" s="44">
        <v>45292</v>
      </c>
      <c r="S15" s="44">
        <v>45657</v>
      </c>
      <c r="T15" s="64">
        <f>13/15</f>
        <v>0.8666666666666667</v>
      </c>
      <c r="U15" s="64">
        <f>+$O$15</f>
        <v>0.95</v>
      </c>
      <c r="V15" s="46">
        <f>IF(((T15*0.25)/U15)&gt;0.25,0.25,(T15*0.25)/U15)</f>
        <v>0.22807017543859651</v>
      </c>
      <c r="W15" s="72">
        <f>1140/1143</f>
        <v>0.99737532808398954</v>
      </c>
      <c r="X15" s="64">
        <f>+$O$15</f>
        <v>0.95</v>
      </c>
      <c r="Y15" s="46">
        <f>IF(((W15*0.25)/X15)&gt;0.25,0.25,(W15*0.25)/X15)</f>
        <v>0.25</v>
      </c>
      <c r="Z15" s="64"/>
      <c r="AA15" s="64">
        <f>+$O$15</f>
        <v>0.95</v>
      </c>
      <c r="AB15" s="46">
        <f>IF(((Z15*0.25)/AA15)&gt;0.25,0.25,(Z15*0.25)/AA15)</f>
        <v>0</v>
      </c>
      <c r="AC15" s="64"/>
      <c r="AD15" s="64">
        <f>+$O$15</f>
        <v>0.95</v>
      </c>
      <c r="AE15" s="46">
        <f>IF(((AC15*0.25)/AD15)&gt;0.25,0.25,(AC15*0.25)/AD15)</f>
        <v>0</v>
      </c>
      <c r="AF15" s="60">
        <f t="shared" si="0"/>
        <v>0.47807017543859653</v>
      </c>
      <c r="AG15" s="157">
        <f>+(AF15+AF16+AF17+AF18)/4</f>
        <v>0.45275075963238398</v>
      </c>
      <c r="AH15" s="46" t="s">
        <v>109</v>
      </c>
      <c r="AI15" s="61" t="s">
        <v>110</v>
      </c>
      <c r="AJ15" s="65" t="s">
        <v>111</v>
      </c>
      <c r="AK15" s="66"/>
      <c r="AL15" s="148" t="s">
        <v>668</v>
      </c>
      <c r="AM15" s="53" t="s">
        <v>669</v>
      </c>
      <c r="AN15" s="52"/>
      <c r="AO15" s="52"/>
      <c r="AP15" s="52"/>
      <c r="AQ15" s="52"/>
    </row>
    <row r="16" spans="1:44" s="54" customFormat="1" ht="409.5" x14ac:dyDescent="0.2">
      <c r="A16" s="39">
        <v>6</v>
      </c>
      <c r="B16" s="40" t="s">
        <v>99</v>
      </c>
      <c r="C16" s="40" t="s">
        <v>100</v>
      </c>
      <c r="D16" s="41" t="s">
        <v>101</v>
      </c>
      <c r="E16" s="40" t="s">
        <v>112</v>
      </c>
      <c r="F16" s="40" t="s">
        <v>103</v>
      </c>
      <c r="G16" s="40" t="s">
        <v>113</v>
      </c>
      <c r="H16" s="40" t="s">
        <v>114</v>
      </c>
      <c r="I16" s="40" t="s">
        <v>115</v>
      </c>
      <c r="J16" s="40" t="s">
        <v>116</v>
      </c>
      <c r="K16" s="40" t="s">
        <v>66</v>
      </c>
      <c r="L16" s="40" t="s">
        <v>117</v>
      </c>
      <c r="M16" s="64">
        <v>0.95</v>
      </c>
      <c r="N16" s="40" t="s">
        <v>108</v>
      </c>
      <c r="O16" s="64">
        <v>0.98</v>
      </c>
      <c r="P16" s="43">
        <v>0.25</v>
      </c>
      <c r="Q16" s="40" t="s">
        <v>91</v>
      </c>
      <c r="R16" s="44">
        <v>45292</v>
      </c>
      <c r="S16" s="44">
        <v>45657</v>
      </c>
      <c r="T16" s="64">
        <f>47/49</f>
        <v>0.95918367346938771</v>
      </c>
      <c r="U16" s="64">
        <f>+$O$16</f>
        <v>0.98</v>
      </c>
      <c r="V16" s="46">
        <f>IF(((T16*0.25)/U16)&gt;0.25,0.25,(T16*0.25)/U16)</f>
        <v>0.24468971261974176</v>
      </c>
      <c r="W16" s="64">
        <v>0.93577981651376152</v>
      </c>
      <c r="X16" s="64">
        <f>+$O$16</f>
        <v>0.98</v>
      </c>
      <c r="Y16" s="46">
        <f>IF(((W16*0.25)/X16)&gt;0.25,0.25,(W16*0.25)/X16)</f>
        <v>0.23871934094738814</v>
      </c>
      <c r="Z16" s="64"/>
      <c r="AA16" s="64">
        <f>+$O$16</f>
        <v>0.98</v>
      </c>
      <c r="AB16" s="46">
        <f>IF(((Z16*0.25)/AA16)&gt;0.25,0.25,(Z16*0.25)/AA16)</f>
        <v>0</v>
      </c>
      <c r="AC16" s="64"/>
      <c r="AD16" s="64">
        <f>+$O$16</f>
        <v>0.98</v>
      </c>
      <c r="AE16" s="46">
        <f>IF(((AC16*0.25)/AD16)&gt;0.25,0.25,(AC16*0.25)/AD16)</f>
        <v>0</v>
      </c>
      <c r="AF16" s="60">
        <f t="shared" si="0"/>
        <v>0.48340905356712993</v>
      </c>
      <c r="AG16" s="157"/>
      <c r="AH16" s="46" t="s">
        <v>109</v>
      </c>
      <c r="AI16" s="61" t="s">
        <v>110</v>
      </c>
      <c r="AJ16" s="65" t="s">
        <v>118</v>
      </c>
      <c r="AK16" s="67" t="s">
        <v>119</v>
      </c>
      <c r="AL16" s="148" t="s">
        <v>665</v>
      </c>
      <c r="AM16" s="71" t="s">
        <v>670</v>
      </c>
      <c r="AN16" s="52"/>
      <c r="AO16" s="52"/>
      <c r="AP16" s="52"/>
      <c r="AQ16" s="52"/>
    </row>
    <row r="17" spans="1:44" s="54" customFormat="1" ht="396.75" customHeight="1" x14ac:dyDescent="0.2">
      <c r="A17" s="39">
        <v>7</v>
      </c>
      <c r="B17" s="40" t="s">
        <v>99</v>
      </c>
      <c r="C17" s="40" t="s">
        <v>100</v>
      </c>
      <c r="D17" s="41" t="s">
        <v>101</v>
      </c>
      <c r="E17" s="40" t="s">
        <v>112</v>
      </c>
      <c r="F17" s="40" t="s">
        <v>103</v>
      </c>
      <c r="G17" s="40" t="s">
        <v>120</v>
      </c>
      <c r="H17" s="40" t="s">
        <v>121</v>
      </c>
      <c r="I17" s="40" t="s">
        <v>122</v>
      </c>
      <c r="J17" s="40" t="s">
        <v>123</v>
      </c>
      <c r="K17" s="40" t="s">
        <v>66</v>
      </c>
      <c r="L17" s="40" t="s">
        <v>117</v>
      </c>
      <c r="M17" s="64">
        <v>0.75</v>
      </c>
      <c r="N17" s="40" t="s">
        <v>124</v>
      </c>
      <c r="O17" s="64">
        <v>0.9</v>
      </c>
      <c r="P17" s="43" t="s">
        <v>125</v>
      </c>
      <c r="Q17" s="40" t="s">
        <v>91</v>
      </c>
      <c r="R17" s="44">
        <v>45292</v>
      </c>
      <c r="S17" s="44">
        <v>45657</v>
      </c>
      <c r="T17" s="42">
        <v>5</v>
      </c>
      <c r="U17" s="45">
        <v>5</v>
      </c>
      <c r="V17" s="46">
        <f>IFERROR((T17/U17)*0.25,0)</f>
        <v>0.25</v>
      </c>
      <c r="W17" s="42">
        <v>6</v>
      </c>
      <c r="X17" s="45">
        <v>9</v>
      </c>
      <c r="Y17" s="46">
        <f>IFERROR((W17/X17)*0.25,0)</f>
        <v>0.16666666666666666</v>
      </c>
      <c r="Z17" s="42"/>
      <c r="AA17" s="45"/>
      <c r="AB17" s="46">
        <f>IFERROR((Z17/AA17)*0.25,0)</f>
        <v>0</v>
      </c>
      <c r="AC17" s="42"/>
      <c r="AD17" s="45"/>
      <c r="AE17" s="46">
        <f>IFERROR((AC17/AD17)*0.25,0)</f>
        <v>0</v>
      </c>
      <c r="AF17" s="60">
        <f t="shared" si="0"/>
        <v>0.41666666666666663</v>
      </c>
      <c r="AG17" s="157"/>
      <c r="AH17" s="46" t="s">
        <v>109</v>
      </c>
      <c r="AI17" s="61" t="s">
        <v>110</v>
      </c>
      <c r="AJ17" s="68" t="s">
        <v>126</v>
      </c>
      <c r="AK17" s="67" t="s">
        <v>127</v>
      </c>
      <c r="AL17" s="148" t="s">
        <v>666</v>
      </c>
      <c r="AM17" s="71" t="s">
        <v>691</v>
      </c>
      <c r="AN17" s="52"/>
      <c r="AO17" s="52"/>
      <c r="AP17" s="52"/>
      <c r="AQ17" s="52"/>
    </row>
    <row r="18" spans="1:44" s="69" customFormat="1" ht="158.25" customHeight="1" x14ac:dyDescent="0.2">
      <c r="A18" s="39">
        <v>8</v>
      </c>
      <c r="B18" s="40" t="s">
        <v>99</v>
      </c>
      <c r="C18" s="40" t="s">
        <v>100</v>
      </c>
      <c r="D18" s="41" t="s">
        <v>101</v>
      </c>
      <c r="E18" s="40" t="s">
        <v>112</v>
      </c>
      <c r="F18" s="40" t="s">
        <v>103</v>
      </c>
      <c r="G18" s="40" t="s">
        <v>128</v>
      </c>
      <c r="H18" s="40" t="s">
        <v>129</v>
      </c>
      <c r="I18" s="40" t="s">
        <v>130</v>
      </c>
      <c r="J18" s="40" t="s">
        <v>131</v>
      </c>
      <c r="K18" s="40" t="s">
        <v>80</v>
      </c>
      <c r="L18" s="40" t="s">
        <v>117</v>
      </c>
      <c r="M18" s="40" t="s">
        <v>71</v>
      </c>
      <c r="N18" s="40" t="s">
        <v>124</v>
      </c>
      <c r="O18" s="42">
        <v>800</v>
      </c>
      <c r="P18" s="43">
        <v>0.25</v>
      </c>
      <c r="Q18" s="40" t="s">
        <v>91</v>
      </c>
      <c r="R18" s="44">
        <v>45292</v>
      </c>
      <c r="S18" s="44">
        <v>45657</v>
      </c>
      <c r="T18" s="42">
        <v>140</v>
      </c>
      <c r="U18" s="45">
        <v>140</v>
      </c>
      <c r="V18" s="46">
        <f>+(T18/U18)*0.25</f>
        <v>0.25</v>
      </c>
      <c r="W18" s="42">
        <v>256</v>
      </c>
      <c r="X18" s="45">
        <v>350</v>
      </c>
      <c r="Y18" s="46">
        <f>+(W18/X18)*0.25</f>
        <v>0.18285714285714286</v>
      </c>
      <c r="Z18" s="42"/>
      <c r="AA18" s="45">
        <v>200</v>
      </c>
      <c r="AB18" s="46">
        <f>+(Z18/AA18)*0.25</f>
        <v>0</v>
      </c>
      <c r="AC18" s="42"/>
      <c r="AD18" s="45">
        <v>110</v>
      </c>
      <c r="AE18" s="46">
        <f>+(AC18/AD18)*0.25</f>
        <v>0</v>
      </c>
      <c r="AF18" s="60">
        <f t="shared" si="0"/>
        <v>0.43285714285714283</v>
      </c>
      <c r="AG18" s="157"/>
      <c r="AH18" s="46" t="s">
        <v>109</v>
      </c>
      <c r="AI18" s="61" t="s">
        <v>110</v>
      </c>
      <c r="AJ18" s="65" t="s">
        <v>132</v>
      </c>
      <c r="AK18" s="67" t="s">
        <v>133</v>
      </c>
      <c r="AL18" s="148" t="s">
        <v>667</v>
      </c>
      <c r="AM18" s="53" t="s">
        <v>671</v>
      </c>
      <c r="AN18" s="52"/>
      <c r="AO18" s="52"/>
      <c r="AP18" s="52"/>
      <c r="AQ18" s="52"/>
    </row>
    <row r="19" spans="1:44" s="54" customFormat="1" ht="173.25" customHeight="1" x14ac:dyDescent="0.2">
      <c r="A19" s="39">
        <v>9</v>
      </c>
      <c r="B19" s="40" t="s">
        <v>134</v>
      </c>
      <c r="C19" s="40" t="s">
        <v>135</v>
      </c>
      <c r="D19" s="41" t="s">
        <v>136</v>
      </c>
      <c r="E19" s="40" t="s">
        <v>137</v>
      </c>
      <c r="F19" s="40" t="s">
        <v>138</v>
      </c>
      <c r="G19" s="40" t="s">
        <v>139</v>
      </c>
      <c r="H19" s="40" t="s">
        <v>140</v>
      </c>
      <c r="I19" s="40" t="s">
        <v>141</v>
      </c>
      <c r="J19" s="40" t="s">
        <v>142</v>
      </c>
      <c r="K19" s="40" t="s">
        <v>80</v>
      </c>
      <c r="L19" s="40" t="s">
        <v>67</v>
      </c>
      <c r="M19" s="40" t="s">
        <v>71</v>
      </c>
      <c r="N19" s="40" t="s">
        <v>143</v>
      </c>
      <c r="O19" s="64">
        <v>0.2</v>
      </c>
      <c r="P19" s="43" t="s">
        <v>125</v>
      </c>
      <c r="Q19" s="40" t="s">
        <v>91</v>
      </c>
      <c r="R19" s="44">
        <v>45292</v>
      </c>
      <c r="S19" s="44">
        <v>45657</v>
      </c>
      <c r="T19" s="42">
        <v>867</v>
      </c>
      <c r="U19" s="45">
        <f>18123*5%</f>
        <v>906.15000000000009</v>
      </c>
      <c r="V19" s="46">
        <f>+(T19/U19)*0.25</f>
        <v>0.23919880814434694</v>
      </c>
      <c r="W19" s="42">
        <v>440</v>
      </c>
      <c r="X19" s="45">
        <v>906</v>
      </c>
      <c r="Y19" s="46">
        <f>+(W19/X19)*0.25</f>
        <v>0.12141280353200883</v>
      </c>
      <c r="Z19" s="42"/>
      <c r="AA19" s="45">
        <v>906</v>
      </c>
      <c r="AB19" s="46">
        <f>+(Z19/AA19)*0.25</f>
        <v>0</v>
      </c>
      <c r="AC19" s="42"/>
      <c r="AD19" s="45">
        <v>906</v>
      </c>
      <c r="AE19" s="46">
        <f>+(AC19/AD19)*0.25</f>
        <v>0</v>
      </c>
      <c r="AF19" s="60">
        <f t="shared" si="0"/>
        <v>0.36061161167635575</v>
      </c>
      <c r="AG19" s="154">
        <f>((SUM(AF20:AF20)/3+AF19+AF21)/3)</f>
        <v>0.21568998166989636</v>
      </c>
      <c r="AH19" s="46" t="s">
        <v>109</v>
      </c>
      <c r="AI19" s="61" t="s">
        <v>110</v>
      </c>
      <c r="AJ19" s="65" t="s">
        <v>144</v>
      </c>
      <c r="AK19" s="67" t="s">
        <v>145</v>
      </c>
      <c r="AL19" s="52" t="s">
        <v>656</v>
      </c>
      <c r="AM19" s="53" t="s">
        <v>657</v>
      </c>
      <c r="AN19" s="52"/>
      <c r="AO19" s="52"/>
      <c r="AP19" s="52"/>
      <c r="AQ19" s="52"/>
    </row>
    <row r="20" spans="1:44" s="70" customFormat="1" ht="117.75" customHeight="1" x14ac:dyDescent="0.2">
      <c r="A20" s="39">
        <v>10</v>
      </c>
      <c r="B20" s="40" t="s">
        <v>134</v>
      </c>
      <c r="C20" s="40" t="s">
        <v>135</v>
      </c>
      <c r="D20" s="41" t="s">
        <v>136</v>
      </c>
      <c r="E20" s="40" t="s">
        <v>137</v>
      </c>
      <c r="F20" s="40" t="s">
        <v>146</v>
      </c>
      <c r="G20" s="40" t="s">
        <v>147</v>
      </c>
      <c r="H20" s="40" t="s">
        <v>148</v>
      </c>
      <c r="I20" s="40" t="s">
        <v>149</v>
      </c>
      <c r="J20" s="40" t="s">
        <v>150</v>
      </c>
      <c r="K20" s="40" t="s">
        <v>66</v>
      </c>
      <c r="L20" s="40" t="s">
        <v>67</v>
      </c>
      <c r="M20" s="40" t="s">
        <v>71</v>
      </c>
      <c r="N20" s="40" t="s">
        <v>71</v>
      </c>
      <c r="O20" s="42">
        <v>116</v>
      </c>
      <c r="P20" s="43">
        <v>0.25</v>
      </c>
      <c r="Q20" s="40" t="s">
        <v>91</v>
      </c>
      <c r="R20" s="44">
        <v>45292</v>
      </c>
      <c r="S20" s="44">
        <v>45657</v>
      </c>
      <c r="T20" s="42">
        <v>0</v>
      </c>
      <c r="U20" s="45">
        <v>80</v>
      </c>
      <c r="V20" s="46">
        <f>+(T20/U20)*0.25</f>
        <v>0</v>
      </c>
      <c r="W20" s="42">
        <v>3</v>
      </c>
      <c r="X20" s="45">
        <v>80</v>
      </c>
      <c r="Y20" s="46">
        <f>+(W20/X20)*0.25</f>
        <v>9.3749999999999997E-3</v>
      </c>
      <c r="Z20" s="42"/>
      <c r="AA20" s="45">
        <v>80</v>
      </c>
      <c r="AB20" s="46">
        <f>+(Z20/AA20)*0.25</f>
        <v>0</v>
      </c>
      <c r="AC20" s="42"/>
      <c r="AD20" s="45">
        <v>80</v>
      </c>
      <c r="AE20" s="46">
        <f>+(AC20/AD20)*0.25</f>
        <v>0</v>
      </c>
      <c r="AF20" s="60">
        <f t="shared" si="0"/>
        <v>9.3749999999999997E-3</v>
      </c>
      <c r="AG20" s="154"/>
      <c r="AH20" s="46" t="s">
        <v>109</v>
      </c>
      <c r="AI20" s="61" t="s">
        <v>110</v>
      </c>
      <c r="AJ20" s="65" t="s">
        <v>151</v>
      </c>
      <c r="AK20" s="67" t="s">
        <v>152</v>
      </c>
      <c r="AL20" s="52" t="s">
        <v>658</v>
      </c>
      <c r="AM20" s="53" t="s">
        <v>659</v>
      </c>
      <c r="AN20" s="52"/>
      <c r="AO20" s="52"/>
      <c r="AP20" s="52"/>
      <c r="AQ20" s="52"/>
    </row>
    <row r="21" spans="1:44" s="70" customFormat="1" ht="156" customHeight="1" x14ac:dyDescent="0.2">
      <c r="A21" s="39">
        <v>11</v>
      </c>
      <c r="B21" s="40" t="s">
        <v>134</v>
      </c>
      <c r="C21" s="40" t="s">
        <v>135</v>
      </c>
      <c r="D21" s="41" t="s">
        <v>136</v>
      </c>
      <c r="E21" s="40" t="s">
        <v>137</v>
      </c>
      <c r="F21" s="40" t="s">
        <v>138</v>
      </c>
      <c r="G21" s="40" t="s">
        <v>153</v>
      </c>
      <c r="H21" s="40" t="s">
        <v>154</v>
      </c>
      <c r="I21" s="40" t="s">
        <v>155</v>
      </c>
      <c r="J21" s="40" t="s">
        <v>156</v>
      </c>
      <c r="K21" s="40" t="s">
        <v>66</v>
      </c>
      <c r="L21" s="40" t="s">
        <v>67</v>
      </c>
      <c r="M21" s="40" t="s">
        <v>71</v>
      </c>
      <c r="N21" s="40" t="s">
        <v>71</v>
      </c>
      <c r="O21" s="42">
        <v>30</v>
      </c>
      <c r="P21" s="43">
        <v>0.5</v>
      </c>
      <c r="Q21" s="40" t="s">
        <v>157</v>
      </c>
      <c r="R21" s="44">
        <v>45292</v>
      </c>
      <c r="S21" s="44">
        <v>45657</v>
      </c>
      <c r="T21" s="42">
        <v>0</v>
      </c>
      <c r="U21" s="45">
        <v>0</v>
      </c>
      <c r="V21" s="46" t="s">
        <v>71</v>
      </c>
      <c r="W21" s="42">
        <v>17</v>
      </c>
      <c r="X21" s="45">
        <v>30</v>
      </c>
      <c r="Y21" s="46">
        <f>+(W21/X21)*0.5</f>
        <v>0.28333333333333333</v>
      </c>
      <c r="Z21" s="42">
        <v>0</v>
      </c>
      <c r="AA21" s="45">
        <v>0</v>
      </c>
      <c r="AB21" s="46" t="s">
        <v>71</v>
      </c>
      <c r="AC21" s="42"/>
      <c r="AD21" s="45">
        <v>30</v>
      </c>
      <c r="AE21" s="46">
        <f>+(AC21/AD21)*0.25</f>
        <v>0</v>
      </c>
      <c r="AF21" s="60">
        <f>Y21+AE21</f>
        <v>0.28333333333333333</v>
      </c>
      <c r="AG21" s="154"/>
      <c r="AH21" s="46" t="s">
        <v>109</v>
      </c>
      <c r="AI21" s="61" t="s">
        <v>110</v>
      </c>
      <c r="AJ21" s="65" t="s">
        <v>158</v>
      </c>
      <c r="AK21" s="67" t="s">
        <v>159</v>
      </c>
      <c r="AL21" s="52" t="s">
        <v>160</v>
      </c>
      <c r="AM21" s="53" t="s">
        <v>660</v>
      </c>
      <c r="AN21" s="52"/>
      <c r="AO21" s="52"/>
      <c r="AP21" s="52"/>
      <c r="AQ21" s="52"/>
    </row>
    <row r="22" spans="1:44" s="55" customFormat="1" ht="153.75" customHeight="1" x14ac:dyDescent="0.2">
      <c r="A22" s="39">
        <v>12</v>
      </c>
      <c r="B22" s="40" t="s">
        <v>134</v>
      </c>
      <c r="C22" s="40" t="s">
        <v>135</v>
      </c>
      <c r="D22" s="41" t="s">
        <v>161</v>
      </c>
      <c r="E22" s="40" t="s">
        <v>162</v>
      </c>
      <c r="F22" s="40" t="s">
        <v>163</v>
      </c>
      <c r="G22" s="40" t="s">
        <v>164</v>
      </c>
      <c r="H22" s="40" t="s">
        <v>165</v>
      </c>
      <c r="I22" s="40" t="s">
        <v>166</v>
      </c>
      <c r="J22" s="40" t="s">
        <v>167</v>
      </c>
      <c r="K22" s="40" t="s">
        <v>80</v>
      </c>
      <c r="L22" s="40" t="s">
        <v>67</v>
      </c>
      <c r="M22" s="40" t="s">
        <v>71</v>
      </c>
      <c r="N22" s="40" t="s">
        <v>168</v>
      </c>
      <c r="O22" s="42">
        <v>1800</v>
      </c>
      <c r="P22" s="43" t="s">
        <v>125</v>
      </c>
      <c r="Q22" s="40" t="s">
        <v>91</v>
      </c>
      <c r="R22" s="44">
        <v>45292</v>
      </c>
      <c r="S22" s="44">
        <v>45657</v>
      </c>
      <c r="T22" s="42">
        <v>82</v>
      </c>
      <c r="U22" s="45">
        <v>150</v>
      </c>
      <c r="V22" s="46">
        <f>(T22/$O$22)</f>
        <v>4.5555555555555557E-2</v>
      </c>
      <c r="W22" s="42">
        <v>103</v>
      </c>
      <c r="X22" s="45">
        <v>650</v>
      </c>
      <c r="Y22" s="46">
        <f>(W22/$O$22)</f>
        <v>5.7222222222222223E-2</v>
      </c>
      <c r="Z22" s="42"/>
      <c r="AA22" s="45">
        <v>600</v>
      </c>
      <c r="AB22" s="46">
        <f>(Z22/$O$22)</f>
        <v>0</v>
      </c>
      <c r="AC22" s="42"/>
      <c r="AD22" s="45">
        <v>400</v>
      </c>
      <c r="AE22" s="46">
        <f>(AC22/$O$22)</f>
        <v>0</v>
      </c>
      <c r="AF22" s="60">
        <f t="shared" ref="AF22:AF36" si="1">+V22+Y22+AB22+AE22</f>
        <v>0.10277777777777777</v>
      </c>
      <c r="AG22" s="159">
        <f>+(AF22+AF23+AF24+AF25+AF26)/5</f>
        <v>0.32576267720463126</v>
      </c>
      <c r="AH22" s="46" t="s">
        <v>109</v>
      </c>
      <c r="AI22" s="61" t="s">
        <v>110</v>
      </c>
      <c r="AJ22" s="65" t="s">
        <v>169</v>
      </c>
      <c r="AK22" s="67" t="s">
        <v>170</v>
      </c>
      <c r="AL22" s="52" t="s">
        <v>171</v>
      </c>
      <c r="AM22" s="71" t="s">
        <v>172</v>
      </c>
      <c r="AN22" s="52"/>
      <c r="AO22" s="52"/>
      <c r="AP22" s="52"/>
      <c r="AQ22" s="52"/>
      <c r="AR22" s="54"/>
    </row>
    <row r="23" spans="1:44" s="73" customFormat="1" ht="154.5" customHeight="1" x14ac:dyDescent="0.2">
      <c r="A23" s="39">
        <v>13</v>
      </c>
      <c r="B23" s="40" t="s">
        <v>134</v>
      </c>
      <c r="C23" s="40" t="s">
        <v>135</v>
      </c>
      <c r="D23" s="41" t="s">
        <v>161</v>
      </c>
      <c r="E23" s="40" t="s">
        <v>162</v>
      </c>
      <c r="F23" s="40" t="s">
        <v>163</v>
      </c>
      <c r="G23" s="40" t="s">
        <v>173</v>
      </c>
      <c r="H23" s="40" t="s">
        <v>174</v>
      </c>
      <c r="I23" s="40" t="s">
        <v>175</v>
      </c>
      <c r="J23" s="40" t="s">
        <v>176</v>
      </c>
      <c r="K23" s="40" t="s">
        <v>66</v>
      </c>
      <c r="L23" s="40" t="s">
        <v>67</v>
      </c>
      <c r="M23" s="40" t="s">
        <v>71</v>
      </c>
      <c r="N23" s="40" t="s">
        <v>71</v>
      </c>
      <c r="O23" s="43">
        <v>0.95</v>
      </c>
      <c r="P23" s="43">
        <v>0.25</v>
      </c>
      <c r="Q23" s="40" t="s">
        <v>91</v>
      </c>
      <c r="R23" s="44">
        <v>45292</v>
      </c>
      <c r="S23" s="44">
        <v>45657</v>
      </c>
      <c r="T23" s="48">
        <v>1</v>
      </c>
      <c r="U23" s="48">
        <v>1</v>
      </c>
      <c r="V23" s="72">
        <f>+(T23/U23)*$P$23</f>
        <v>0.25</v>
      </c>
      <c r="W23" s="42">
        <v>4</v>
      </c>
      <c r="X23" s="48">
        <v>4</v>
      </c>
      <c r="Y23" s="72">
        <f>+(W23/X23)*P23</f>
        <v>0.25</v>
      </c>
      <c r="Z23" s="42"/>
      <c r="AA23" s="48">
        <v>1</v>
      </c>
      <c r="AB23" s="72">
        <f>+(Z23/AA23)*P23</f>
        <v>0</v>
      </c>
      <c r="AC23" s="42"/>
      <c r="AD23" s="48">
        <v>1</v>
      </c>
      <c r="AE23" s="72">
        <f>+(AC23/AD23)*P23</f>
        <v>0</v>
      </c>
      <c r="AF23" s="60">
        <f t="shared" si="1"/>
        <v>0.5</v>
      </c>
      <c r="AG23" s="159"/>
      <c r="AH23" s="46" t="s">
        <v>109</v>
      </c>
      <c r="AI23" s="61" t="s">
        <v>110</v>
      </c>
      <c r="AJ23" s="65" t="s">
        <v>177</v>
      </c>
      <c r="AK23" s="67" t="s">
        <v>178</v>
      </c>
      <c r="AL23" s="52" t="s">
        <v>179</v>
      </c>
      <c r="AM23" s="71" t="s">
        <v>180</v>
      </c>
      <c r="AN23" s="52"/>
      <c r="AO23" s="52"/>
      <c r="AP23" s="52"/>
      <c r="AQ23" s="52"/>
      <c r="AR23" s="69"/>
    </row>
    <row r="24" spans="1:44" s="55" customFormat="1" ht="198" customHeight="1" x14ac:dyDescent="0.2">
      <c r="A24" s="39">
        <v>14</v>
      </c>
      <c r="B24" s="40" t="s">
        <v>134</v>
      </c>
      <c r="C24" s="40" t="s">
        <v>135</v>
      </c>
      <c r="D24" s="41" t="s">
        <v>161</v>
      </c>
      <c r="E24" s="40" t="s">
        <v>162</v>
      </c>
      <c r="F24" s="40" t="s">
        <v>163</v>
      </c>
      <c r="G24" s="40" t="s">
        <v>181</v>
      </c>
      <c r="H24" s="40" t="s">
        <v>182</v>
      </c>
      <c r="I24" s="40" t="s">
        <v>183</v>
      </c>
      <c r="J24" s="40" t="s">
        <v>184</v>
      </c>
      <c r="K24" s="40" t="s">
        <v>66</v>
      </c>
      <c r="L24" s="40" t="s">
        <v>67</v>
      </c>
      <c r="M24" s="40" t="s">
        <v>71</v>
      </c>
      <c r="N24" s="40" t="s">
        <v>71</v>
      </c>
      <c r="O24" s="43">
        <v>0.95</v>
      </c>
      <c r="P24" s="43">
        <v>0.25</v>
      </c>
      <c r="Q24" s="40" t="s">
        <v>91</v>
      </c>
      <c r="R24" s="44">
        <v>45292</v>
      </c>
      <c r="S24" s="44">
        <v>45657</v>
      </c>
      <c r="T24" s="48">
        <v>75</v>
      </c>
      <c r="U24" s="48">
        <v>81</v>
      </c>
      <c r="V24" s="46">
        <f>+(T24/U24)*$P$24</f>
        <v>0.23148148148148148</v>
      </c>
      <c r="W24" s="42">
        <v>72</v>
      </c>
      <c r="X24" s="45">
        <v>99</v>
      </c>
      <c r="Y24" s="46">
        <f>+(W24/X24)*P24</f>
        <v>0.18181818181818182</v>
      </c>
      <c r="Z24" s="42"/>
      <c r="AA24" s="45">
        <v>0.95</v>
      </c>
      <c r="AB24" s="46">
        <f>+(Z24/AA24)*P24</f>
        <v>0</v>
      </c>
      <c r="AC24" s="42"/>
      <c r="AD24" s="45">
        <v>0.95</v>
      </c>
      <c r="AE24" s="46">
        <f>+(AC24/AD24)*P24</f>
        <v>0</v>
      </c>
      <c r="AF24" s="60">
        <f t="shared" si="1"/>
        <v>0.41329966329966328</v>
      </c>
      <c r="AG24" s="159"/>
      <c r="AH24" s="46" t="s">
        <v>109</v>
      </c>
      <c r="AI24" s="61" t="s">
        <v>110</v>
      </c>
      <c r="AJ24" s="65" t="s">
        <v>185</v>
      </c>
      <c r="AK24" s="67" t="s">
        <v>186</v>
      </c>
      <c r="AL24" s="52" t="s">
        <v>187</v>
      </c>
      <c r="AM24" s="71" t="s">
        <v>188</v>
      </c>
      <c r="AN24" s="52"/>
      <c r="AO24" s="52"/>
      <c r="AP24" s="52"/>
      <c r="AQ24" s="52"/>
      <c r="AR24" s="54"/>
    </row>
    <row r="25" spans="1:44" s="77" customFormat="1" ht="142.5" customHeight="1" x14ac:dyDescent="0.2">
      <c r="A25" s="39">
        <v>15</v>
      </c>
      <c r="B25" s="40" t="s">
        <v>134</v>
      </c>
      <c r="C25" s="40" t="s">
        <v>135</v>
      </c>
      <c r="D25" s="41" t="s">
        <v>161</v>
      </c>
      <c r="E25" s="40" t="s">
        <v>189</v>
      </c>
      <c r="F25" s="40" t="s">
        <v>190</v>
      </c>
      <c r="G25" s="40" t="s">
        <v>191</v>
      </c>
      <c r="H25" s="40" t="s">
        <v>192</v>
      </c>
      <c r="I25" s="40" t="s">
        <v>193</v>
      </c>
      <c r="J25" s="40" t="s">
        <v>194</v>
      </c>
      <c r="K25" s="40" t="s">
        <v>66</v>
      </c>
      <c r="L25" s="40" t="s">
        <v>195</v>
      </c>
      <c r="M25" s="40">
        <v>0.255</v>
      </c>
      <c r="N25" s="40" t="s">
        <v>196</v>
      </c>
      <c r="O25" s="74" t="s">
        <v>197</v>
      </c>
      <c r="P25" s="43">
        <v>0.25</v>
      </c>
      <c r="Q25" s="40" t="s">
        <v>91</v>
      </c>
      <c r="R25" s="44">
        <v>45292</v>
      </c>
      <c r="S25" s="44">
        <v>45657</v>
      </c>
      <c r="T25" s="75">
        <v>0.27260000000000001</v>
      </c>
      <c r="U25" s="64">
        <v>0.24</v>
      </c>
      <c r="V25" s="46">
        <f>IF((IF(T25="",0%,IF(T25&lt;=U25,25%,(0.25-((T25-U25)*1)/0.24))))&lt;0,0,(IF(T25="",0%,IF(T25&lt;=U25,25%,(0.25-((T25-U25)*1)/0.24)))))</f>
        <v>0.11416666666666658</v>
      </c>
      <c r="W25" s="64">
        <v>0.308</v>
      </c>
      <c r="X25" s="64">
        <v>0.24</v>
      </c>
      <c r="Y25" s="46">
        <f>IF((IF(W25="",0%,IF(W25&lt;=X25,25%,(0.25-((W25-X25)*1)/0.24))))&lt;0,0,(IF(W25="",0%,IF(W25&lt;=X25,25%,(0.25-((W25-X25)*1)/0.24)))))</f>
        <v>0</v>
      </c>
      <c r="Z25" s="64"/>
      <c r="AA25" s="64">
        <v>0.24</v>
      </c>
      <c r="AB25" s="46">
        <f>IF((IF(Z25="",0%,IF(Z25&lt;=AA25,25%,(0.25-((Z25-AA25)*1)/0.24))))&lt;0,0,(IF(Z25="",0%,IF(Z25&lt;=AA25,25%,(0.25-((Z25-AA25)*1)/0.24)))))</f>
        <v>0</v>
      </c>
      <c r="AC25" s="64"/>
      <c r="AD25" s="64">
        <v>0.24</v>
      </c>
      <c r="AE25" s="46">
        <f>IF((IF(AC25="",0%,IF(AC25&lt;=AD25,25%,(0.25-((AC25-AD25)*1)/0.24))))&lt;0,0,(IF(AC25="",0%,IF(AC25&lt;=AD25,25%,(0.25-((AC25-AD25)*1)/0.24)))))</f>
        <v>0</v>
      </c>
      <c r="AF25" s="60">
        <f t="shared" si="1"/>
        <v>0.11416666666666658</v>
      </c>
      <c r="AG25" s="159"/>
      <c r="AH25" s="46" t="s">
        <v>109</v>
      </c>
      <c r="AI25" s="61" t="s">
        <v>110</v>
      </c>
      <c r="AJ25" s="65" t="s">
        <v>198</v>
      </c>
      <c r="AK25" s="67" t="s">
        <v>199</v>
      </c>
      <c r="AL25" s="76" t="s">
        <v>200</v>
      </c>
      <c r="AM25" s="71" t="s">
        <v>201</v>
      </c>
      <c r="AN25" s="52"/>
      <c r="AO25" s="52"/>
      <c r="AP25" s="52"/>
      <c r="AQ25" s="52"/>
    </row>
    <row r="26" spans="1:44" s="69" customFormat="1" ht="90.75" customHeight="1" x14ac:dyDescent="0.2">
      <c r="A26" s="39">
        <v>16</v>
      </c>
      <c r="B26" s="40" t="s">
        <v>134</v>
      </c>
      <c r="C26" s="40" t="s">
        <v>135</v>
      </c>
      <c r="D26" s="41" t="s">
        <v>161</v>
      </c>
      <c r="E26" s="40" t="s">
        <v>202</v>
      </c>
      <c r="F26" s="40" t="s">
        <v>203</v>
      </c>
      <c r="G26" s="40" t="s">
        <v>204</v>
      </c>
      <c r="H26" s="40" t="s">
        <v>205</v>
      </c>
      <c r="I26" s="40" t="s">
        <v>206</v>
      </c>
      <c r="J26" s="40" t="s">
        <v>207</v>
      </c>
      <c r="K26" s="40" t="s">
        <v>66</v>
      </c>
      <c r="L26" s="40" t="s">
        <v>195</v>
      </c>
      <c r="M26" s="40" t="s">
        <v>71</v>
      </c>
      <c r="N26" s="40" t="s">
        <v>71</v>
      </c>
      <c r="O26" s="43">
        <v>0.95</v>
      </c>
      <c r="P26" s="43">
        <v>0.25</v>
      </c>
      <c r="Q26" s="40" t="s">
        <v>91</v>
      </c>
      <c r="R26" s="44">
        <v>45292</v>
      </c>
      <c r="S26" s="44">
        <v>45657</v>
      </c>
      <c r="T26" s="78">
        <v>8241562426</v>
      </c>
      <c r="U26" s="78">
        <v>8279538860</v>
      </c>
      <c r="V26" s="46">
        <f>+(T26/U26)*$P$26</f>
        <v>0.2488533046754732</v>
      </c>
      <c r="W26" s="78">
        <v>9710815424.6700001</v>
      </c>
      <c r="X26" s="78">
        <v>9721860484.6700001</v>
      </c>
      <c r="Y26" s="46">
        <f>+(W26/X26)*P26</f>
        <v>0.24971597360357575</v>
      </c>
      <c r="Z26" s="42"/>
      <c r="AA26" s="45">
        <v>0.95</v>
      </c>
      <c r="AB26" s="46">
        <f>+(Z26/AA26)*P26</f>
        <v>0</v>
      </c>
      <c r="AC26" s="42"/>
      <c r="AD26" s="45">
        <v>0.95</v>
      </c>
      <c r="AE26" s="46">
        <f>+(AC26/AD26)*P26</f>
        <v>0</v>
      </c>
      <c r="AF26" s="60">
        <f t="shared" si="1"/>
        <v>0.49856927827904896</v>
      </c>
      <c r="AG26" s="159"/>
      <c r="AH26" s="46" t="s">
        <v>109</v>
      </c>
      <c r="AI26" s="61" t="s">
        <v>110</v>
      </c>
      <c r="AJ26" s="65" t="s">
        <v>208</v>
      </c>
      <c r="AK26" s="67" t="s">
        <v>209</v>
      </c>
      <c r="AL26" s="76" t="s">
        <v>210</v>
      </c>
      <c r="AM26" s="71" t="s">
        <v>211</v>
      </c>
      <c r="AN26" s="52"/>
      <c r="AO26" s="52"/>
      <c r="AP26" s="52"/>
      <c r="AQ26" s="52"/>
    </row>
    <row r="27" spans="1:44" s="73" customFormat="1" ht="124.5" customHeight="1" x14ac:dyDescent="0.2">
      <c r="A27" s="39">
        <v>17</v>
      </c>
      <c r="B27" s="40" t="s">
        <v>134</v>
      </c>
      <c r="C27" s="40" t="s">
        <v>135</v>
      </c>
      <c r="D27" s="41" t="s">
        <v>161</v>
      </c>
      <c r="E27" s="40" t="s">
        <v>202</v>
      </c>
      <c r="F27" s="40" t="s">
        <v>203</v>
      </c>
      <c r="G27" s="40" t="s">
        <v>212</v>
      </c>
      <c r="H27" s="40" t="s">
        <v>213</v>
      </c>
      <c r="I27" s="40" t="s">
        <v>214</v>
      </c>
      <c r="J27" s="40" t="s">
        <v>215</v>
      </c>
      <c r="K27" s="40" t="s">
        <v>66</v>
      </c>
      <c r="L27" s="40" t="s">
        <v>195</v>
      </c>
      <c r="M27" s="40">
        <v>1.6</v>
      </c>
      <c r="N27" s="40" t="s">
        <v>196</v>
      </c>
      <c r="O27" s="74" t="s">
        <v>216</v>
      </c>
      <c r="P27" s="43">
        <v>0.25</v>
      </c>
      <c r="Q27" s="40" t="s">
        <v>91</v>
      </c>
      <c r="R27" s="44">
        <v>45292</v>
      </c>
      <c r="S27" s="44">
        <v>45657</v>
      </c>
      <c r="T27" s="79">
        <v>3.5000000000000003E-2</v>
      </c>
      <c r="U27" s="64">
        <v>0.02</v>
      </c>
      <c r="V27" s="46">
        <f>IF((IF(T27="",0%,IF(T27&lt;=U27,25%,(0.25-((T27-U27)*0.25)/0.02))))&lt;0,0,(IF(T27="",0%,IF(T27&lt;=U27,25%,(0.25-((T27-U27)*0.25)/0.02)))))</f>
        <v>6.2499999999999972E-2</v>
      </c>
      <c r="W27" s="80">
        <v>2.8000000000000001E-2</v>
      </c>
      <c r="X27" s="64">
        <v>0.02</v>
      </c>
      <c r="Y27" s="46">
        <f>IF((IF(W27="",0%,IF(W27&lt;=X27,25%,(0.25-((W27-X27)*0.25)/0.02))))&lt;0,0,(IF(W27="",0%,IF(W27&lt;=X27,25%,(0.25-((W27-X27)*0.25)/0.02)))))</f>
        <v>0.15</v>
      </c>
      <c r="Z27" s="42"/>
      <c r="AA27" s="45">
        <v>0.02</v>
      </c>
      <c r="AB27" s="46">
        <f>IF((IF(Z27="",0%,IF(Z27&lt;=AA27,25%,(0.25-((Z27-AA27)*0.25)/0.02))))&lt;0,0,(IF(Z27="",0%,IF(Z27&lt;=AA27,25%,(0.25-((Z27-AA27)*0.25)/0.02)))))</f>
        <v>0</v>
      </c>
      <c r="AC27" s="42"/>
      <c r="AD27" s="45">
        <v>0.02</v>
      </c>
      <c r="AE27" s="46">
        <f>IF((IF(AC27="",0%,IF(AC27&lt;=AD27,25%,(0.25-((AC27-AD27)*0.25)/0.02))))&lt;0,0,(IF(AC27="",0%,IF(AC27&lt;=AD27,25%,(0.25-((AC27-AD27)*0.25)/0.02)))))</f>
        <v>0</v>
      </c>
      <c r="AF27" s="60">
        <f t="shared" si="1"/>
        <v>0.21249999999999997</v>
      </c>
      <c r="AG27" s="81"/>
      <c r="AH27" s="46" t="s">
        <v>109</v>
      </c>
      <c r="AI27" s="61" t="s">
        <v>110</v>
      </c>
      <c r="AJ27" s="65" t="s">
        <v>217</v>
      </c>
      <c r="AK27" s="67" t="s">
        <v>218</v>
      </c>
      <c r="AL27" s="76" t="s">
        <v>219</v>
      </c>
      <c r="AM27" s="71" t="s">
        <v>220</v>
      </c>
      <c r="AN27" s="52"/>
      <c r="AO27" s="52"/>
      <c r="AP27" s="52"/>
      <c r="AQ27" s="52"/>
      <c r="AR27" s="69"/>
    </row>
    <row r="28" spans="1:44" s="73" customFormat="1" ht="145.5" customHeight="1" x14ac:dyDescent="0.2">
      <c r="A28" s="39">
        <v>18</v>
      </c>
      <c r="B28" s="40" t="s">
        <v>134</v>
      </c>
      <c r="C28" s="40" t="s">
        <v>135</v>
      </c>
      <c r="D28" s="41" t="s">
        <v>161</v>
      </c>
      <c r="E28" s="40" t="s">
        <v>202</v>
      </c>
      <c r="F28" s="40" t="s">
        <v>203</v>
      </c>
      <c r="G28" s="40" t="s">
        <v>221</v>
      </c>
      <c r="H28" s="40" t="s">
        <v>222</v>
      </c>
      <c r="I28" s="40" t="s">
        <v>223</v>
      </c>
      <c r="J28" s="40" t="s">
        <v>224</v>
      </c>
      <c r="K28" s="40" t="s">
        <v>66</v>
      </c>
      <c r="L28" s="40" t="s">
        <v>195</v>
      </c>
      <c r="M28" s="40">
        <v>2</v>
      </c>
      <c r="N28" s="40" t="s">
        <v>196</v>
      </c>
      <c r="O28" s="74" t="s">
        <v>216</v>
      </c>
      <c r="P28" s="43">
        <v>0.25</v>
      </c>
      <c r="Q28" s="40" t="s">
        <v>91</v>
      </c>
      <c r="R28" s="44">
        <v>45292</v>
      </c>
      <c r="S28" s="44">
        <v>45657</v>
      </c>
      <c r="T28" s="79">
        <v>3.5999999999999997E-2</v>
      </c>
      <c r="U28" s="64">
        <v>0.02</v>
      </c>
      <c r="V28" s="46">
        <f>IF((IF(T28="",0%,IF(T28&lt;=U28,25%,(0.25-((T28-U28)*0.25)/0.02))))&lt;0,0,(IF(T28="",0%,IF(T28&lt;=U28,25%,(0.25-((T28-U28)*0.25)/0.02)))))</f>
        <v>5.0000000000000044E-2</v>
      </c>
      <c r="W28" s="80">
        <v>4.2999999999999997E-2</v>
      </c>
      <c r="X28" s="64">
        <v>0.02</v>
      </c>
      <c r="Y28" s="46">
        <f>IF((IF(W28="",0%,IF(W28&lt;=X28,25%,(0.25-((W28-X28)*0.25)/0.02))))&lt;0,0,(IF(W28="",0%,IF(W28&lt;=X28,25%,(0.25-((W28-X28)*0.25)/0.02)))))</f>
        <v>0</v>
      </c>
      <c r="Z28" s="42"/>
      <c r="AA28" s="45">
        <v>0.02</v>
      </c>
      <c r="AB28" s="46">
        <f>IF((IF(Z28="",0%,IF(Z28&lt;=AA28,25%,(0.25-((Z28-AA28)*0.25)/0.02))))&lt;0,0,(IF(Z28="",0%,IF(Z28&lt;=AA28,25%,(0.25-((Z28-AA28)*0.25)/0.02)))))</f>
        <v>0</v>
      </c>
      <c r="AC28" s="42"/>
      <c r="AD28" s="45">
        <v>0.02</v>
      </c>
      <c r="AE28" s="46">
        <f>IF((IF(AC28="",0%,IF(AC28&lt;=AD28,25%,(0.25-((AC28-AD28)*0.25)/0.02))))&lt;0,0,(IF(AC28="",0%,IF(AC28&lt;=AD28,25%,(0.25-((AC28-AD28)*0.25)/0.02)))))</f>
        <v>0</v>
      </c>
      <c r="AF28" s="60">
        <f t="shared" si="1"/>
        <v>5.0000000000000044E-2</v>
      </c>
      <c r="AG28" s="82"/>
      <c r="AH28" s="46" t="s">
        <v>109</v>
      </c>
      <c r="AI28" s="61" t="s">
        <v>110</v>
      </c>
      <c r="AJ28" s="65" t="s">
        <v>225</v>
      </c>
      <c r="AK28" s="67" t="s">
        <v>226</v>
      </c>
      <c r="AL28" s="76" t="s">
        <v>227</v>
      </c>
      <c r="AM28" s="71" t="s">
        <v>228</v>
      </c>
      <c r="AN28" s="52"/>
      <c r="AO28" s="52"/>
      <c r="AP28" s="52"/>
      <c r="AQ28" s="52"/>
      <c r="AR28" s="69"/>
    </row>
    <row r="29" spans="1:44" s="54" customFormat="1" ht="177.75" customHeight="1" x14ac:dyDescent="0.2">
      <c r="A29" s="39">
        <v>19</v>
      </c>
      <c r="B29" s="40" t="s">
        <v>229</v>
      </c>
      <c r="C29" s="40" t="s">
        <v>230</v>
      </c>
      <c r="D29" s="41" t="s">
        <v>231</v>
      </c>
      <c r="E29" s="40" t="s">
        <v>232</v>
      </c>
      <c r="F29" s="40" t="s">
        <v>233</v>
      </c>
      <c r="G29" s="40" t="s">
        <v>234</v>
      </c>
      <c r="H29" s="40" t="s">
        <v>235</v>
      </c>
      <c r="I29" s="40" t="s">
        <v>236</v>
      </c>
      <c r="J29" s="40" t="s">
        <v>237</v>
      </c>
      <c r="K29" s="40" t="s">
        <v>66</v>
      </c>
      <c r="L29" s="40" t="s">
        <v>90</v>
      </c>
      <c r="M29" s="40" t="s">
        <v>71</v>
      </c>
      <c r="N29" s="40" t="s">
        <v>71</v>
      </c>
      <c r="O29" s="42">
        <v>1</v>
      </c>
      <c r="P29" s="43">
        <v>0.25</v>
      </c>
      <c r="Q29" s="40" t="s">
        <v>91</v>
      </c>
      <c r="R29" s="44">
        <v>45292</v>
      </c>
      <c r="S29" s="44">
        <v>45657</v>
      </c>
      <c r="T29" s="42">
        <v>7</v>
      </c>
      <c r="U29" s="45">
        <v>14</v>
      </c>
      <c r="V29" s="46">
        <f>IFERROR((T29/U29)*25%,0)</f>
        <v>0.125</v>
      </c>
      <c r="W29" s="42">
        <v>2</v>
      </c>
      <c r="X29" s="45">
        <v>9</v>
      </c>
      <c r="Y29" s="46">
        <f>IFERROR((W29/X29)*25%,0)</f>
        <v>5.5555555555555552E-2</v>
      </c>
      <c r="Z29" s="42"/>
      <c r="AA29" s="45"/>
      <c r="AB29" s="46">
        <f>IFERROR((Z29/AA29)*25%,0)</f>
        <v>0</v>
      </c>
      <c r="AC29" s="42"/>
      <c r="AD29" s="45"/>
      <c r="AE29" s="46">
        <f>IFERROR((AC29/AD29)*25%,0)</f>
        <v>0</v>
      </c>
      <c r="AF29" s="60">
        <f t="shared" si="1"/>
        <v>0.18055555555555555</v>
      </c>
      <c r="AG29" s="154">
        <f>+(AF29+AF30+AF31)/3</f>
        <v>0.31018518518518517</v>
      </c>
      <c r="AH29" s="46" t="s">
        <v>238</v>
      </c>
      <c r="AI29" s="61" t="s">
        <v>239</v>
      </c>
      <c r="AJ29" s="65" t="s">
        <v>240</v>
      </c>
      <c r="AK29" s="67" t="s">
        <v>241</v>
      </c>
      <c r="AL29" s="52" t="s">
        <v>242</v>
      </c>
      <c r="AM29" s="83" t="s">
        <v>243</v>
      </c>
      <c r="AN29" s="52"/>
      <c r="AO29" s="52"/>
      <c r="AP29" s="52"/>
      <c r="AQ29" s="52"/>
    </row>
    <row r="30" spans="1:44" s="54" customFormat="1" ht="147" customHeight="1" x14ac:dyDescent="0.2">
      <c r="A30" s="39">
        <v>20</v>
      </c>
      <c r="B30" s="40" t="s">
        <v>229</v>
      </c>
      <c r="C30" s="40" t="s">
        <v>230</v>
      </c>
      <c r="D30" s="41" t="s">
        <v>231</v>
      </c>
      <c r="E30" s="40" t="s">
        <v>232</v>
      </c>
      <c r="F30" s="40" t="s">
        <v>233</v>
      </c>
      <c r="G30" s="40" t="s">
        <v>244</v>
      </c>
      <c r="H30" s="40" t="s">
        <v>245</v>
      </c>
      <c r="I30" s="40" t="s">
        <v>246</v>
      </c>
      <c r="J30" s="40" t="s">
        <v>247</v>
      </c>
      <c r="K30" s="40" t="s">
        <v>80</v>
      </c>
      <c r="L30" s="40" t="s">
        <v>90</v>
      </c>
      <c r="M30" s="40">
        <v>3</v>
      </c>
      <c r="N30" s="40" t="s">
        <v>248</v>
      </c>
      <c r="O30" s="42">
        <v>1</v>
      </c>
      <c r="P30" s="43">
        <v>0.33</v>
      </c>
      <c r="Q30" s="40" t="s">
        <v>91</v>
      </c>
      <c r="R30" s="44">
        <v>45292</v>
      </c>
      <c r="S30" s="44">
        <v>45657</v>
      </c>
      <c r="T30" s="42">
        <v>3</v>
      </c>
      <c r="U30" s="45">
        <v>3</v>
      </c>
      <c r="V30" s="46">
        <f>+(T30/U30)*25%</f>
        <v>0.25</v>
      </c>
      <c r="W30" s="42">
        <v>2</v>
      </c>
      <c r="X30" s="45">
        <v>3</v>
      </c>
      <c r="Y30" s="46">
        <f>+(W30/X30)*25%</f>
        <v>0.16666666666666666</v>
      </c>
      <c r="Z30" s="42"/>
      <c r="AA30" s="45">
        <v>3</v>
      </c>
      <c r="AB30" s="46">
        <f>+(Z30/AA30)*25%</f>
        <v>0</v>
      </c>
      <c r="AC30" s="42"/>
      <c r="AD30" s="45">
        <v>3</v>
      </c>
      <c r="AE30" s="46">
        <f>+(AC30/AD30)*25%</f>
        <v>0</v>
      </c>
      <c r="AF30" s="60">
        <f t="shared" si="1"/>
        <v>0.41666666666666663</v>
      </c>
      <c r="AG30" s="154"/>
      <c r="AH30" s="46" t="s">
        <v>238</v>
      </c>
      <c r="AI30" s="61" t="s">
        <v>239</v>
      </c>
      <c r="AJ30" s="65" t="s">
        <v>249</v>
      </c>
      <c r="AK30" s="67" t="s">
        <v>250</v>
      </c>
      <c r="AL30" s="65" t="s">
        <v>251</v>
      </c>
      <c r="AM30" s="83" t="s">
        <v>252</v>
      </c>
      <c r="AN30" s="52"/>
      <c r="AO30" s="52"/>
      <c r="AP30" s="52"/>
      <c r="AQ30" s="52"/>
    </row>
    <row r="31" spans="1:44" s="54" customFormat="1" ht="167.25" customHeight="1" x14ac:dyDescent="0.2">
      <c r="A31" s="39">
        <v>21</v>
      </c>
      <c r="B31" s="40" t="s">
        <v>229</v>
      </c>
      <c r="C31" s="40" t="s">
        <v>230</v>
      </c>
      <c r="D31" s="41" t="s">
        <v>231</v>
      </c>
      <c r="E31" s="40" t="s">
        <v>232</v>
      </c>
      <c r="F31" s="40" t="s">
        <v>233</v>
      </c>
      <c r="G31" s="40" t="s">
        <v>253</v>
      </c>
      <c r="H31" s="40" t="s">
        <v>254</v>
      </c>
      <c r="I31" s="40" t="s">
        <v>255</v>
      </c>
      <c r="J31" s="40" t="s">
        <v>256</v>
      </c>
      <c r="K31" s="40" t="s">
        <v>66</v>
      </c>
      <c r="L31" s="40" t="s">
        <v>90</v>
      </c>
      <c r="M31" s="40" t="s">
        <v>71</v>
      </c>
      <c r="N31" s="40" t="s">
        <v>71</v>
      </c>
      <c r="O31" s="42">
        <v>1</v>
      </c>
      <c r="P31" s="43">
        <v>0.25</v>
      </c>
      <c r="Q31" s="40" t="s">
        <v>91</v>
      </c>
      <c r="R31" s="44">
        <v>45292</v>
      </c>
      <c r="S31" s="44">
        <v>45657</v>
      </c>
      <c r="T31" s="42">
        <v>2</v>
      </c>
      <c r="U31" s="45">
        <v>3</v>
      </c>
      <c r="V31" s="46">
        <f>IFERROR((T31/U31)*$P$31,0)</f>
        <v>0.16666666666666666</v>
      </c>
      <c r="W31" s="42">
        <v>2</v>
      </c>
      <c r="X31" s="45">
        <v>3</v>
      </c>
      <c r="Y31" s="46">
        <f>IFERROR((W31/X31)*$P$31,0)</f>
        <v>0.16666666666666666</v>
      </c>
      <c r="Z31" s="42"/>
      <c r="AA31" s="45"/>
      <c r="AB31" s="46">
        <f>IFERROR((Z31/AA31)*$P$31,0)</f>
        <v>0</v>
      </c>
      <c r="AC31" s="42"/>
      <c r="AD31" s="45"/>
      <c r="AE31" s="46">
        <f>IFERROR((AC31/AD31)*$P$31,0)</f>
        <v>0</v>
      </c>
      <c r="AF31" s="60">
        <f t="shared" si="1"/>
        <v>0.33333333333333331</v>
      </c>
      <c r="AG31" s="154"/>
      <c r="AH31" s="46" t="s">
        <v>238</v>
      </c>
      <c r="AI31" s="61" t="s">
        <v>239</v>
      </c>
      <c r="AJ31" s="65" t="s">
        <v>257</v>
      </c>
      <c r="AK31" s="67" t="s">
        <v>258</v>
      </c>
      <c r="AL31" s="52" t="s">
        <v>259</v>
      </c>
      <c r="AM31" s="53" t="s">
        <v>690</v>
      </c>
      <c r="AN31" s="52"/>
      <c r="AO31" s="52"/>
      <c r="AP31" s="52"/>
      <c r="AQ31" s="52"/>
    </row>
    <row r="32" spans="1:44" s="55" customFormat="1" ht="139.5" customHeight="1" x14ac:dyDescent="0.2">
      <c r="A32" s="39">
        <v>22</v>
      </c>
      <c r="B32" s="40" t="s">
        <v>260</v>
      </c>
      <c r="C32" s="40" t="s">
        <v>58</v>
      </c>
      <c r="D32" s="41" t="s">
        <v>261</v>
      </c>
      <c r="E32" s="40" t="s">
        <v>262</v>
      </c>
      <c r="F32" s="40" t="s">
        <v>263</v>
      </c>
      <c r="G32" s="40" t="s">
        <v>264</v>
      </c>
      <c r="H32" s="40" t="s">
        <v>265</v>
      </c>
      <c r="I32" s="40" t="s">
        <v>266</v>
      </c>
      <c r="J32" s="40" t="s">
        <v>267</v>
      </c>
      <c r="K32" s="40" t="s">
        <v>80</v>
      </c>
      <c r="L32" s="40" t="s">
        <v>90</v>
      </c>
      <c r="M32" s="40" t="s">
        <v>71</v>
      </c>
      <c r="N32" s="40" t="s">
        <v>71</v>
      </c>
      <c r="O32" s="42">
        <v>1</v>
      </c>
      <c r="P32" s="43" t="s">
        <v>125</v>
      </c>
      <c r="Q32" s="40" t="s">
        <v>268</v>
      </c>
      <c r="R32" s="44">
        <v>45292</v>
      </c>
      <c r="S32" s="44">
        <v>45657</v>
      </c>
      <c r="T32" s="42">
        <v>1</v>
      </c>
      <c r="U32" s="45">
        <v>1</v>
      </c>
      <c r="V32" s="46">
        <f>+(T32/U32)*10%</f>
        <v>0.1</v>
      </c>
      <c r="W32" s="42">
        <v>16</v>
      </c>
      <c r="X32" s="45">
        <v>16</v>
      </c>
      <c r="Y32" s="46">
        <f>IFERROR((W32/X32)*30%,0)</f>
        <v>0.3</v>
      </c>
      <c r="Z32" s="42"/>
      <c r="AA32" s="45">
        <v>37</v>
      </c>
      <c r="AB32" s="46">
        <f>IFERROR((Z32/AA32)*30%,0)</f>
        <v>0</v>
      </c>
      <c r="AC32" s="42"/>
      <c r="AD32" s="45">
        <v>22</v>
      </c>
      <c r="AE32" s="46">
        <f>IFERROR((AC32/AD32)*30%,0)</f>
        <v>0</v>
      </c>
      <c r="AF32" s="60">
        <f t="shared" si="1"/>
        <v>0.4</v>
      </c>
      <c r="AG32" s="154">
        <f>+(AF32+AF34+AF35+AF36)/4</f>
        <v>0.46931818181818186</v>
      </c>
      <c r="AH32" s="46" t="s">
        <v>269</v>
      </c>
      <c r="AI32" s="61" t="s">
        <v>270</v>
      </c>
      <c r="AJ32" s="65" t="s">
        <v>271</v>
      </c>
      <c r="AK32" s="67" t="s">
        <v>272</v>
      </c>
      <c r="AL32" s="52" t="s">
        <v>273</v>
      </c>
      <c r="AM32" s="53" t="s">
        <v>661</v>
      </c>
      <c r="AN32" s="52"/>
      <c r="AO32" s="52"/>
      <c r="AP32" s="52"/>
      <c r="AQ32" s="52"/>
      <c r="AR32" s="54"/>
    </row>
    <row r="33" spans="1:44" s="55" customFormat="1" ht="171" customHeight="1" x14ac:dyDescent="0.2">
      <c r="A33" s="39">
        <v>23</v>
      </c>
      <c r="B33" s="40" t="s">
        <v>260</v>
      </c>
      <c r="C33" s="40" t="s">
        <v>58</v>
      </c>
      <c r="D33" s="41" t="s">
        <v>261</v>
      </c>
      <c r="E33" s="40" t="s">
        <v>262</v>
      </c>
      <c r="F33" s="40" t="s">
        <v>263</v>
      </c>
      <c r="G33" s="40" t="s">
        <v>274</v>
      </c>
      <c r="H33" s="40" t="s">
        <v>275</v>
      </c>
      <c r="I33" s="40" t="s">
        <v>276</v>
      </c>
      <c r="J33" s="40" t="s">
        <v>277</v>
      </c>
      <c r="K33" s="40" t="s">
        <v>80</v>
      </c>
      <c r="L33" s="40" t="s">
        <v>90</v>
      </c>
      <c r="M33" s="40" t="s">
        <v>71</v>
      </c>
      <c r="N33" s="40" t="s">
        <v>71</v>
      </c>
      <c r="O33" s="42">
        <v>1</v>
      </c>
      <c r="P33" s="43">
        <v>0.25</v>
      </c>
      <c r="Q33" s="40" t="s">
        <v>268</v>
      </c>
      <c r="R33" s="44">
        <v>45292</v>
      </c>
      <c r="S33" s="44">
        <v>45657</v>
      </c>
      <c r="T33" s="42">
        <v>28</v>
      </c>
      <c r="U33" s="45">
        <v>28</v>
      </c>
      <c r="V33" s="46">
        <f>IFERROR((T33/U33)*25%,0)</f>
        <v>0.25</v>
      </c>
      <c r="W33" s="42">
        <v>47</v>
      </c>
      <c r="X33" s="45">
        <v>47</v>
      </c>
      <c r="Y33" s="46">
        <f>IFERROR((W33/X33)*25%,0)</f>
        <v>0.25</v>
      </c>
      <c r="Z33" s="42"/>
      <c r="AA33" s="45"/>
      <c r="AB33" s="46">
        <f>IFERROR((Z33/AA33)*25%,0)</f>
        <v>0</v>
      </c>
      <c r="AC33" s="42"/>
      <c r="AD33" s="45"/>
      <c r="AE33" s="46">
        <f>IFERROR((AC33/AD33)*25%,0)</f>
        <v>0</v>
      </c>
      <c r="AF33" s="60">
        <f t="shared" si="1"/>
        <v>0.5</v>
      </c>
      <c r="AG33" s="154"/>
      <c r="AH33" s="46" t="s">
        <v>269</v>
      </c>
      <c r="AI33" s="61" t="s">
        <v>270</v>
      </c>
      <c r="AJ33" s="65" t="s">
        <v>278</v>
      </c>
      <c r="AK33" s="67" t="s">
        <v>279</v>
      </c>
      <c r="AL33" s="52" t="s">
        <v>634</v>
      </c>
      <c r="AM33" s="53" t="s">
        <v>635</v>
      </c>
      <c r="AN33" s="52"/>
      <c r="AO33" s="52"/>
      <c r="AP33" s="52"/>
      <c r="AQ33" s="52"/>
      <c r="AR33" s="54"/>
    </row>
    <row r="34" spans="1:44" s="55" customFormat="1" ht="185.25" customHeight="1" x14ac:dyDescent="0.2">
      <c r="A34" s="39">
        <v>24</v>
      </c>
      <c r="B34" s="40" t="s">
        <v>260</v>
      </c>
      <c r="C34" s="40" t="s">
        <v>58</v>
      </c>
      <c r="D34" s="41" t="s">
        <v>261</v>
      </c>
      <c r="E34" s="40" t="s">
        <v>262</v>
      </c>
      <c r="F34" s="40" t="s">
        <v>280</v>
      </c>
      <c r="G34" s="40" t="s">
        <v>281</v>
      </c>
      <c r="H34" s="40" t="s">
        <v>282</v>
      </c>
      <c r="I34" s="40" t="s">
        <v>283</v>
      </c>
      <c r="J34" s="40" t="s">
        <v>284</v>
      </c>
      <c r="K34" s="40" t="s">
        <v>80</v>
      </c>
      <c r="L34" s="40" t="s">
        <v>90</v>
      </c>
      <c r="M34" s="40" t="s">
        <v>71</v>
      </c>
      <c r="N34" s="40" t="s">
        <v>71</v>
      </c>
      <c r="O34" s="42">
        <v>1</v>
      </c>
      <c r="P34" s="43">
        <v>0.25</v>
      </c>
      <c r="Q34" s="40" t="s">
        <v>70</v>
      </c>
      <c r="R34" s="44">
        <v>45292</v>
      </c>
      <c r="S34" s="44">
        <v>45657</v>
      </c>
      <c r="T34" s="42">
        <v>1</v>
      </c>
      <c r="U34" s="45">
        <v>1</v>
      </c>
      <c r="V34" s="46">
        <f>IFERROR((T34/U34)*25%,0)</f>
        <v>0.25</v>
      </c>
      <c r="W34" s="42">
        <v>1</v>
      </c>
      <c r="X34" s="45">
        <v>1</v>
      </c>
      <c r="Y34" s="46">
        <f>IFERROR((W34/X34)*25%,0)</f>
        <v>0.25</v>
      </c>
      <c r="Z34" s="42"/>
      <c r="AA34" s="45">
        <v>1</v>
      </c>
      <c r="AB34" s="46">
        <f>IFERROR((Z34/AA34)*25%,0)</f>
        <v>0</v>
      </c>
      <c r="AC34" s="42"/>
      <c r="AD34" s="45">
        <v>1</v>
      </c>
      <c r="AE34" s="46">
        <f>IFERROR((AC34/AD34)*25%,0)</f>
        <v>0</v>
      </c>
      <c r="AF34" s="60">
        <f t="shared" si="1"/>
        <v>0.5</v>
      </c>
      <c r="AG34" s="154"/>
      <c r="AH34" s="46" t="s">
        <v>269</v>
      </c>
      <c r="AI34" s="61" t="s">
        <v>270</v>
      </c>
      <c r="AJ34" s="65" t="s">
        <v>285</v>
      </c>
      <c r="AK34" s="67" t="s">
        <v>286</v>
      </c>
      <c r="AL34" s="52" t="s">
        <v>287</v>
      </c>
      <c r="AM34" s="71" t="s">
        <v>636</v>
      </c>
      <c r="AN34" s="52"/>
      <c r="AO34" s="52"/>
      <c r="AP34" s="52"/>
      <c r="AQ34" s="52"/>
      <c r="AR34" s="54"/>
    </row>
    <row r="35" spans="1:44" s="55" customFormat="1" ht="182.25" customHeight="1" x14ac:dyDescent="0.2">
      <c r="A35" s="39">
        <v>25</v>
      </c>
      <c r="B35" s="40" t="s">
        <v>260</v>
      </c>
      <c r="C35" s="40" t="s">
        <v>58</v>
      </c>
      <c r="D35" s="41" t="s">
        <v>261</v>
      </c>
      <c r="E35" s="40" t="s">
        <v>262</v>
      </c>
      <c r="F35" s="40" t="s">
        <v>288</v>
      </c>
      <c r="G35" s="40" t="s">
        <v>289</v>
      </c>
      <c r="H35" s="40" t="s">
        <v>290</v>
      </c>
      <c r="I35" s="40" t="s">
        <v>291</v>
      </c>
      <c r="J35" s="40" t="s">
        <v>292</v>
      </c>
      <c r="K35" s="40" t="s">
        <v>80</v>
      </c>
      <c r="L35" s="40" t="s">
        <v>90</v>
      </c>
      <c r="M35" s="40" t="s">
        <v>71</v>
      </c>
      <c r="N35" s="40" t="s">
        <v>71</v>
      </c>
      <c r="O35" s="42">
        <v>0.95</v>
      </c>
      <c r="P35" s="43">
        <v>0.25</v>
      </c>
      <c r="Q35" s="40" t="s">
        <v>91</v>
      </c>
      <c r="R35" s="44">
        <v>45292</v>
      </c>
      <c r="S35" s="44">
        <v>45657</v>
      </c>
      <c r="T35" s="42">
        <v>5</v>
      </c>
      <c r="U35" s="45">
        <v>5</v>
      </c>
      <c r="V35" s="46">
        <f>IFERROR((T35/U35)*25%,0)</f>
        <v>0.25</v>
      </c>
      <c r="W35" s="42">
        <v>10</v>
      </c>
      <c r="X35" s="45">
        <v>11</v>
      </c>
      <c r="Y35" s="46">
        <f>IFERROR((W35/X35)*25%,0)</f>
        <v>0.22727272727272727</v>
      </c>
      <c r="Z35" s="42"/>
      <c r="AA35" s="45"/>
      <c r="AB35" s="46">
        <f>IFERROR((Z35/AA35)*25%,0)</f>
        <v>0</v>
      </c>
      <c r="AC35" s="42"/>
      <c r="AD35" s="45"/>
      <c r="AE35" s="46">
        <f>IFERROR((AC35/AD35)*25%,0)</f>
        <v>0</v>
      </c>
      <c r="AF35" s="60">
        <f t="shared" si="1"/>
        <v>0.47727272727272729</v>
      </c>
      <c r="AG35" s="154"/>
      <c r="AH35" s="46" t="s">
        <v>269</v>
      </c>
      <c r="AI35" s="61" t="s">
        <v>270</v>
      </c>
      <c r="AJ35" s="65" t="s">
        <v>293</v>
      </c>
      <c r="AK35" s="67" t="s">
        <v>294</v>
      </c>
      <c r="AL35" s="52" t="s">
        <v>295</v>
      </c>
      <c r="AM35" s="53" t="s">
        <v>637</v>
      </c>
      <c r="AN35" s="52"/>
      <c r="AO35" s="52"/>
      <c r="AP35" s="52"/>
      <c r="AQ35" s="52"/>
      <c r="AR35" s="54"/>
    </row>
    <row r="36" spans="1:44" s="54" customFormat="1" ht="188.25" customHeight="1" x14ac:dyDescent="0.2">
      <c r="A36" s="39">
        <v>26</v>
      </c>
      <c r="B36" s="40" t="s">
        <v>260</v>
      </c>
      <c r="C36" s="40" t="s">
        <v>58</v>
      </c>
      <c r="D36" s="41" t="s">
        <v>261</v>
      </c>
      <c r="E36" s="40" t="s">
        <v>296</v>
      </c>
      <c r="F36" s="40" t="s">
        <v>297</v>
      </c>
      <c r="G36" s="40" t="s">
        <v>298</v>
      </c>
      <c r="H36" s="40" t="s">
        <v>299</v>
      </c>
      <c r="I36" s="40" t="s">
        <v>300</v>
      </c>
      <c r="J36" s="40" t="s">
        <v>301</v>
      </c>
      <c r="K36" s="40" t="s">
        <v>80</v>
      </c>
      <c r="L36" s="40" t="s">
        <v>90</v>
      </c>
      <c r="M36" s="40" t="s">
        <v>71</v>
      </c>
      <c r="N36" s="40" t="s">
        <v>71</v>
      </c>
      <c r="O36" s="42">
        <v>0.95</v>
      </c>
      <c r="P36" s="43">
        <v>0.25</v>
      </c>
      <c r="Q36" s="40" t="s">
        <v>91</v>
      </c>
      <c r="R36" s="44">
        <v>45292</v>
      </c>
      <c r="S36" s="44">
        <v>45657</v>
      </c>
      <c r="T36" s="42">
        <v>3</v>
      </c>
      <c r="U36" s="45">
        <v>3</v>
      </c>
      <c r="V36" s="46">
        <f>IFERROR((T36/U36)*25%,0)</f>
        <v>0.25</v>
      </c>
      <c r="W36" s="42">
        <v>6</v>
      </c>
      <c r="X36" s="45">
        <v>6</v>
      </c>
      <c r="Y36" s="46">
        <f>IFERROR((W36/X36)*25%,0)</f>
        <v>0.25</v>
      </c>
      <c r="Z36" s="42"/>
      <c r="AA36" s="45"/>
      <c r="AB36" s="46">
        <f>IFERROR((Z36/AA36)*25%,0)</f>
        <v>0</v>
      </c>
      <c r="AC36" s="42"/>
      <c r="AD36" s="45"/>
      <c r="AE36" s="46">
        <f>IFERROR((AC36/AD36)*25%,0)</f>
        <v>0</v>
      </c>
      <c r="AF36" s="60">
        <f t="shared" si="1"/>
        <v>0.5</v>
      </c>
      <c r="AG36" s="154"/>
      <c r="AH36" s="46" t="s">
        <v>269</v>
      </c>
      <c r="AI36" s="61" t="s">
        <v>270</v>
      </c>
      <c r="AJ36" s="65" t="s">
        <v>302</v>
      </c>
      <c r="AK36" s="67" t="s">
        <v>303</v>
      </c>
      <c r="AL36" s="52" t="s">
        <v>304</v>
      </c>
      <c r="AM36" s="53" t="s">
        <v>638</v>
      </c>
      <c r="AN36" s="52"/>
      <c r="AO36" s="52"/>
      <c r="AP36" s="52"/>
      <c r="AQ36" s="52"/>
    </row>
    <row r="37" spans="1:44" s="54" customFormat="1" ht="207.75" customHeight="1" x14ac:dyDescent="0.2">
      <c r="A37" s="39">
        <v>27</v>
      </c>
      <c r="B37" s="40" t="s">
        <v>305</v>
      </c>
      <c r="C37" s="40" t="s">
        <v>306</v>
      </c>
      <c r="D37" s="41" t="s">
        <v>307</v>
      </c>
      <c r="E37" s="40" t="s">
        <v>308</v>
      </c>
      <c r="F37" s="40" t="s">
        <v>309</v>
      </c>
      <c r="G37" s="40" t="s">
        <v>310</v>
      </c>
      <c r="H37" s="40" t="s">
        <v>311</v>
      </c>
      <c r="I37" s="40" t="s">
        <v>312</v>
      </c>
      <c r="J37" s="40" t="s">
        <v>313</v>
      </c>
      <c r="K37" s="40" t="s">
        <v>80</v>
      </c>
      <c r="L37" s="40" t="s">
        <v>90</v>
      </c>
      <c r="M37" s="40" t="s">
        <v>314</v>
      </c>
      <c r="N37" s="40" t="s">
        <v>315</v>
      </c>
      <c r="O37" s="42">
        <v>0.9</v>
      </c>
      <c r="P37" s="43">
        <v>0.25</v>
      </c>
      <c r="Q37" s="40" t="s">
        <v>91</v>
      </c>
      <c r="R37" s="44">
        <v>45292</v>
      </c>
      <c r="S37" s="44">
        <v>45657</v>
      </c>
      <c r="T37" s="74" t="s">
        <v>316</v>
      </c>
      <c r="U37" s="74" t="s">
        <v>316</v>
      </c>
      <c r="V37" s="46" t="s">
        <v>71</v>
      </c>
      <c r="W37" s="42">
        <v>2</v>
      </c>
      <c r="X37" s="45">
        <v>3</v>
      </c>
      <c r="Y37" s="46">
        <f>IFERROR((W37/X37)*(1/3),0)</f>
        <v>0.22222222222222221</v>
      </c>
      <c r="Z37" s="42">
        <v>0</v>
      </c>
      <c r="AA37" s="45">
        <v>3</v>
      </c>
      <c r="AB37" s="46">
        <f>IFERROR((Z37/AA37)*(1/3),0)</f>
        <v>0</v>
      </c>
      <c r="AC37" s="42"/>
      <c r="AD37" s="45">
        <v>4</v>
      </c>
      <c r="AE37" s="46">
        <f>IFERROR((AC37/AD37)*(1/3),0)</f>
        <v>0</v>
      </c>
      <c r="AF37" s="60">
        <f>+Y37+AB37+AE37</f>
        <v>0.22222222222222221</v>
      </c>
      <c r="AG37" s="154">
        <f>+(AF37+AF38+AF39+AF40+AF41+AF42)/6</f>
        <v>0.37794612794612797</v>
      </c>
      <c r="AH37" s="46" t="s">
        <v>317</v>
      </c>
      <c r="AI37" s="61" t="s">
        <v>318</v>
      </c>
      <c r="AJ37" s="65" t="s">
        <v>319</v>
      </c>
      <c r="AK37" s="66"/>
      <c r="AL37" s="52" t="s">
        <v>320</v>
      </c>
      <c r="AM37" s="71" t="s">
        <v>321</v>
      </c>
      <c r="AN37" s="52"/>
      <c r="AO37" s="52"/>
      <c r="AP37" s="52"/>
      <c r="AQ37" s="52"/>
    </row>
    <row r="38" spans="1:44" s="54" customFormat="1" ht="161.25" customHeight="1" x14ac:dyDescent="0.2">
      <c r="A38" s="39">
        <v>28</v>
      </c>
      <c r="B38" s="40" t="s">
        <v>305</v>
      </c>
      <c r="C38" s="40" t="s">
        <v>306</v>
      </c>
      <c r="D38" s="41" t="s">
        <v>307</v>
      </c>
      <c r="E38" s="40" t="s">
        <v>322</v>
      </c>
      <c r="F38" s="40" t="s">
        <v>323</v>
      </c>
      <c r="G38" s="40" t="s">
        <v>324</v>
      </c>
      <c r="H38" s="40" t="s">
        <v>325</v>
      </c>
      <c r="I38" s="40" t="s">
        <v>326</v>
      </c>
      <c r="J38" s="40" t="s">
        <v>327</v>
      </c>
      <c r="K38" s="40" t="s">
        <v>80</v>
      </c>
      <c r="L38" s="40" t="s">
        <v>90</v>
      </c>
      <c r="M38" s="40">
        <v>2</v>
      </c>
      <c r="N38" s="40" t="s">
        <v>315</v>
      </c>
      <c r="O38" s="42">
        <v>2</v>
      </c>
      <c r="P38" s="43">
        <v>0.5</v>
      </c>
      <c r="Q38" s="40" t="s">
        <v>328</v>
      </c>
      <c r="R38" s="44">
        <v>45292</v>
      </c>
      <c r="S38" s="44">
        <v>45657</v>
      </c>
      <c r="T38" s="74" t="s">
        <v>316</v>
      </c>
      <c r="U38" s="84" t="s">
        <v>316</v>
      </c>
      <c r="V38" s="46" t="s">
        <v>314</v>
      </c>
      <c r="W38" s="42">
        <v>1</v>
      </c>
      <c r="X38" s="45">
        <v>1</v>
      </c>
      <c r="Y38" s="46">
        <f>+(W38/X38)*$P$38</f>
        <v>0.5</v>
      </c>
      <c r="Z38" s="74" t="s">
        <v>316</v>
      </c>
      <c r="AA38" s="84" t="s">
        <v>316</v>
      </c>
      <c r="AB38" s="46" t="s">
        <v>314</v>
      </c>
      <c r="AC38" s="42"/>
      <c r="AD38" s="45">
        <v>1</v>
      </c>
      <c r="AE38" s="46">
        <f>+(AC38/AD38)*$P$38</f>
        <v>0</v>
      </c>
      <c r="AF38" s="60">
        <f>+Y38+AE38</f>
        <v>0.5</v>
      </c>
      <c r="AG38" s="154"/>
      <c r="AH38" s="46" t="s">
        <v>317</v>
      </c>
      <c r="AI38" s="61" t="s">
        <v>318</v>
      </c>
      <c r="AJ38" s="65" t="s">
        <v>329</v>
      </c>
      <c r="AK38" s="67" t="s">
        <v>330</v>
      </c>
      <c r="AL38" s="52" t="s">
        <v>331</v>
      </c>
      <c r="AM38" s="71" t="s">
        <v>332</v>
      </c>
      <c r="AN38" s="52"/>
      <c r="AO38" s="52"/>
      <c r="AP38" s="52"/>
      <c r="AQ38" s="52"/>
    </row>
    <row r="39" spans="1:44" s="54" customFormat="1" ht="132" customHeight="1" x14ac:dyDescent="0.2">
      <c r="A39" s="39">
        <v>29</v>
      </c>
      <c r="B39" s="40" t="s">
        <v>305</v>
      </c>
      <c r="C39" s="40" t="s">
        <v>306</v>
      </c>
      <c r="D39" s="41" t="s">
        <v>307</v>
      </c>
      <c r="E39" s="40" t="s">
        <v>308</v>
      </c>
      <c r="F39" s="40" t="s">
        <v>309</v>
      </c>
      <c r="G39" s="40" t="s">
        <v>333</v>
      </c>
      <c r="H39" s="40" t="s">
        <v>334</v>
      </c>
      <c r="I39" s="40" t="s">
        <v>335</v>
      </c>
      <c r="J39" s="40" t="s">
        <v>336</v>
      </c>
      <c r="K39" s="40" t="s">
        <v>80</v>
      </c>
      <c r="L39" s="40" t="s">
        <v>90</v>
      </c>
      <c r="M39" s="40">
        <v>1</v>
      </c>
      <c r="N39" s="40" t="s">
        <v>337</v>
      </c>
      <c r="O39" s="42">
        <v>15</v>
      </c>
      <c r="P39" s="43">
        <v>0.25</v>
      </c>
      <c r="Q39" s="40" t="s">
        <v>91</v>
      </c>
      <c r="R39" s="44">
        <v>45292</v>
      </c>
      <c r="S39" s="44">
        <v>45657</v>
      </c>
      <c r="T39" s="42">
        <v>3</v>
      </c>
      <c r="U39" s="45">
        <v>3</v>
      </c>
      <c r="V39" s="46">
        <f>IFERROR((T39/U39)*$P$39,0)</f>
        <v>0.25</v>
      </c>
      <c r="W39" s="42">
        <v>3</v>
      </c>
      <c r="X39" s="45">
        <v>3</v>
      </c>
      <c r="Y39" s="46">
        <f>IFERROR((W39/X39)*$P$39,0)</f>
        <v>0.25</v>
      </c>
      <c r="Z39" s="42"/>
      <c r="AA39" s="45">
        <v>3</v>
      </c>
      <c r="AB39" s="46">
        <f>IFERROR((Z39/AA39)*$P$39,0)</f>
        <v>0</v>
      </c>
      <c r="AC39" s="42"/>
      <c r="AD39" s="45">
        <v>3</v>
      </c>
      <c r="AE39" s="46">
        <f>IFERROR((AC39/AD39)*$P$39,0)</f>
        <v>0</v>
      </c>
      <c r="AF39" s="60">
        <f>+V39+Y39+AB39+AE39</f>
        <v>0.5</v>
      </c>
      <c r="AG39" s="154"/>
      <c r="AH39" s="46" t="s">
        <v>317</v>
      </c>
      <c r="AI39" s="61" t="s">
        <v>318</v>
      </c>
      <c r="AJ39" s="65" t="s">
        <v>338</v>
      </c>
      <c r="AK39" s="67" t="s">
        <v>339</v>
      </c>
      <c r="AL39" s="52" t="s">
        <v>340</v>
      </c>
      <c r="AM39" s="71" t="s">
        <v>341</v>
      </c>
      <c r="AN39" s="52"/>
      <c r="AO39" s="52"/>
      <c r="AP39" s="52"/>
      <c r="AQ39" s="52"/>
    </row>
    <row r="40" spans="1:44" s="54" customFormat="1" ht="110.25" customHeight="1" x14ac:dyDescent="0.2">
      <c r="A40" s="39">
        <v>30</v>
      </c>
      <c r="B40" s="40" t="s">
        <v>305</v>
      </c>
      <c r="C40" s="40" t="s">
        <v>306</v>
      </c>
      <c r="D40" s="41" t="s">
        <v>307</v>
      </c>
      <c r="E40" s="40" t="s">
        <v>308</v>
      </c>
      <c r="F40" s="40" t="s">
        <v>342</v>
      </c>
      <c r="G40" s="40" t="s">
        <v>343</v>
      </c>
      <c r="H40" s="40" t="s">
        <v>344</v>
      </c>
      <c r="I40" s="40" t="s">
        <v>345</v>
      </c>
      <c r="J40" s="40" t="s">
        <v>346</v>
      </c>
      <c r="K40" s="40" t="s">
        <v>80</v>
      </c>
      <c r="L40" s="40" t="s">
        <v>90</v>
      </c>
      <c r="M40" s="40">
        <v>1</v>
      </c>
      <c r="N40" s="40" t="s">
        <v>347</v>
      </c>
      <c r="O40" s="42">
        <v>2</v>
      </c>
      <c r="P40" s="43">
        <v>0.5</v>
      </c>
      <c r="Q40" s="40" t="s">
        <v>328</v>
      </c>
      <c r="R40" s="44">
        <v>45292</v>
      </c>
      <c r="S40" s="44">
        <v>45657</v>
      </c>
      <c r="T40" s="42"/>
      <c r="U40" s="45"/>
      <c r="V40" s="46" t="s">
        <v>71</v>
      </c>
      <c r="W40" s="42">
        <v>1</v>
      </c>
      <c r="X40" s="45">
        <v>1</v>
      </c>
      <c r="Y40" s="46">
        <f>+(W40/X40)*$P$40</f>
        <v>0.5</v>
      </c>
      <c r="Z40" s="42"/>
      <c r="AA40" s="45"/>
      <c r="AB40" s="46" t="s">
        <v>71</v>
      </c>
      <c r="AC40" s="42"/>
      <c r="AD40" s="45">
        <v>1</v>
      </c>
      <c r="AE40" s="46">
        <f>+(AC40/AD40)*$P$40</f>
        <v>0</v>
      </c>
      <c r="AF40" s="60">
        <f>Y40+AE40</f>
        <v>0.5</v>
      </c>
      <c r="AG40" s="154"/>
      <c r="AH40" s="46" t="s">
        <v>317</v>
      </c>
      <c r="AI40" s="61" t="s">
        <v>318</v>
      </c>
      <c r="AJ40" s="65" t="s">
        <v>348</v>
      </c>
      <c r="AK40" s="67" t="s">
        <v>349</v>
      </c>
      <c r="AL40" s="52" t="s">
        <v>350</v>
      </c>
      <c r="AM40" s="53" t="s">
        <v>662</v>
      </c>
      <c r="AN40" s="52"/>
      <c r="AO40" s="52"/>
      <c r="AP40" s="52"/>
      <c r="AQ40" s="52"/>
    </row>
    <row r="41" spans="1:44" s="54" customFormat="1" ht="106.5" customHeight="1" x14ac:dyDescent="0.2">
      <c r="A41" s="39">
        <v>31</v>
      </c>
      <c r="B41" s="40" t="s">
        <v>305</v>
      </c>
      <c r="C41" s="40" t="s">
        <v>306</v>
      </c>
      <c r="D41" s="41" t="s">
        <v>307</v>
      </c>
      <c r="E41" s="40" t="s">
        <v>308</v>
      </c>
      <c r="F41" s="40" t="s">
        <v>342</v>
      </c>
      <c r="G41" s="40" t="s">
        <v>351</v>
      </c>
      <c r="H41" s="40" t="s">
        <v>352</v>
      </c>
      <c r="I41" s="40" t="s">
        <v>353</v>
      </c>
      <c r="J41" s="40" t="s">
        <v>354</v>
      </c>
      <c r="K41" s="40" t="s">
        <v>80</v>
      </c>
      <c r="L41" s="40" t="s">
        <v>90</v>
      </c>
      <c r="M41" s="40">
        <v>3</v>
      </c>
      <c r="N41" s="40" t="s">
        <v>355</v>
      </c>
      <c r="O41" s="42">
        <v>3</v>
      </c>
      <c r="P41" s="43">
        <v>0.25</v>
      </c>
      <c r="Q41" s="40" t="s">
        <v>91</v>
      </c>
      <c r="R41" s="44">
        <v>45292</v>
      </c>
      <c r="S41" s="44">
        <v>45657</v>
      </c>
      <c r="T41" s="42">
        <v>3</v>
      </c>
      <c r="U41" s="45">
        <v>3</v>
      </c>
      <c r="V41" s="46">
        <f>IFERROR((T41/U41)*$P$41,0)</f>
        <v>0.25</v>
      </c>
      <c r="W41" s="42">
        <v>3</v>
      </c>
      <c r="X41" s="45">
        <v>3</v>
      </c>
      <c r="Y41" s="46">
        <f>IFERROR((W41/X41)*$P$41,0)</f>
        <v>0.25</v>
      </c>
      <c r="Z41" s="42"/>
      <c r="AA41" s="45">
        <v>3</v>
      </c>
      <c r="AB41" s="46">
        <f>IFERROR((Z41/AA41)*$P$41,0)</f>
        <v>0</v>
      </c>
      <c r="AC41" s="42"/>
      <c r="AD41" s="45">
        <v>3</v>
      </c>
      <c r="AE41" s="46">
        <f>IFERROR((AC41/AD41)*$P$41,0)</f>
        <v>0</v>
      </c>
      <c r="AF41" s="60">
        <f>+V41+Y41+AB41+AE41</f>
        <v>0.5</v>
      </c>
      <c r="AG41" s="154"/>
      <c r="AH41" s="46" t="s">
        <v>317</v>
      </c>
      <c r="AI41" s="61" t="s">
        <v>318</v>
      </c>
      <c r="AJ41" s="65" t="s">
        <v>356</v>
      </c>
      <c r="AK41" s="67" t="s">
        <v>357</v>
      </c>
      <c r="AL41" s="52" t="s">
        <v>358</v>
      </c>
      <c r="AM41" s="71" t="s">
        <v>359</v>
      </c>
      <c r="AN41" s="52"/>
      <c r="AO41" s="52"/>
      <c r="AP41" s="52"/>
      <c r="AQ41" s="52"/>
    </row>
    <row r="42" spans="1:44" s="54" customFormat="1" ht="173.25" customHeight="1" x14ac:dyDescent="0.2">
      <c r="A42" s="39">
        <v>32</v>
      </c>
      <c r="B42" s="40" t="s">
        <v>305</v>
      </c>
      <c r="C42" s="40" t="s">
        <v>306</v>
      </c>
      <c r="D42" s="41" t="s">
        <v>307</v>
      </c>
      <c r="E42" s="40" t="s">
        <v>308</v>
      </c>
      <c r="F42" s="40" t="s">
        <v>309</v>
      </c>
      <c r="G42" s="40" t="s">
        <v>360</v>
      </c>
      <c r="H42" s="40" t="s">
        <v>361</v>
      </c>
      <c r="I42" s="40" t="s">
        <v>362</v>
      </c>
      <c r="J42" s="40" t="s">
        <v>363</v>
      </c>
      <c r="K42" s="40" t="s">
        <v>80</v>
      </c>
      <c r="L42" s="40" t="s">
        <v>90</v>
      </c>
      <c r="M42" s="40" t="s">
        <v>71</v>
      </c>
      <c r="N42" s="40" t="s">
        <v>315</v>
      </c>
      <c r="O42" s="85" t="s">
        <v>364</v>
      </c>
      <c r="P42" s="43">
        <v>0.25</v>
      </c>
      <c r="Q42" s="40" t="s">
        <v>91</v>
      </c>
      <c r="R42" s="44">
        <v>45292</v>
      </c>
      <c r="S42" s="44">
        <v>45657</v>
      </c>
      <c r="T42" s="74" t="s">
        <v>316</v>
      </c>
      <c r="U42" s="84" t="s">
        <v>316</v>
      </c>
      <c r="V42" s="46">
        <f>IFERROR((T42/U42)*$P$42,0)</f>
        <v>0</v>
      </c>
      <c r="W42" s="42">
        <v>2</v>
      </c>
      <c r="X42" s="86">
        <v>11</v>
      </c>
      <c r="Y42" s="46">
        <f>IFERROR((W42/X42)*$P$42,0)</f>
        <v>4.5454545454545456E-2</v>
      </c>
      <c r="Z42" s="42"/>
      <c r="AA42" s="86">
        <v>11</v>
      </c>
      <c r="AB42" s="46">
        <f>IFERROR((Z42/AA42)*$P$42,0)</f>
        <v>0</v>
      </c>
      <c r="AC42" s="42"/>
      <c r="AD42" s="86">
        <v>11</v>
      </c>
      <c r="AE42" s="46">
        <f>IFERROR((AC42/AD42)*$P$42,0)</f>
        <v>0</v>
      </c>
      <c r="AF42" s="60">
        <f>+V42+Y42+AB42+AE42</f>
        <v>4.5454545454545456E-2</v>
      </c>
      <c r="AG42" s="154"/>
      <c r="AH42" s="46" t="s">
        <v>317</v>
      </c>
      <c r="AI42" s="61" t="s">
        <v>318</v>
      </c>
      <c r="AJ42" s="65" t="s">
        <v>365</v>
      </c>
      <c r="AK42" s="67" t="s">
        <v>366</v>
      </c>
      <c r="AL42" s="52" t="s">
        <v>367</v>
      </c>
      <c r="AM42" s="71" t="s">
        <v>368</v>
      </c>
      <c r="AN42" s="52"/>
      <c r="AO42" s="52"/>
      <c r="AP42" s="52"/>
      <c r="AQ42" s="52"/>
    </row>
    <row r="43" spans="1:44" s="55" customFormat="1" ht="198" customHeight="1" x14ac:dyDescent="0.2">
      <c r="A43" s="39">
        <v>33</v>
      </c>
      <c r="B43" s="40" t="s">
        <v>305</v>
      </c>
      <c r="C43" s="40" t="s">
        <v>369</v>
      </c>
      <c r="D43" s="41" t="s">
        <v>370</v>
      </c>
      <c r="E43" s="40" t="s">
        <v>371</v>
      </c>
      <c r="F43" s="40" t="s">
        <v>372</v>
      </c>
      <c r="G43" s="40" t="s">
        <v>373</v>
      </c>
      <c r="H43" s="40" t="s">
        <v>374</v>
      </c>
      <c r="I43" s="40" t="s">
        <v>375</v>
      </c>
      <c r="J43" s="40" t="s">
        <v>376</v>
      </c>
      <c r="K43" s="40" t="s">
        <v>80</v>
      </c>
      <c r="L43" s="40" t="s">
        <v>67</v>
      </c>
      <c r="M43" s="40">
        <v>10</v>
      </c>
      <c r="N43" s="40" t="s">
        <v>377</v>
      </c>
      <c r="O43" s="140">
        <v>17</v>
      </c>
      <c r="P43" s="43" t="s">
        <v>125</v>
      </c>
      <c r="Q43" s="40" t="s">
        <v>91</v>
      </c>
      <c r="R43" s="44">
        <v>45292</v>
      </c>
      <c r="S43" s="44">
        <v>45657</v>
      </c>
      <c r="T43" s="42">
        <v>0</v>
      </c>
      <c r="U43" s="45">
        <v>0</v>
      </c>
      <c r="V43" s="46">
        <v>0</v>
      </c>
      <c r="W43" s="42">
        <v>2</v>
      </c>
      <c r="X43" s="141">
        <v>2</v>
      </c>
      <c r="Y43" s="46">
        <f>+(W43/X43)*(W43/$O$43)</f>
        <v>0.11764705882352941</v>
      </c>
      <c r="Z43" s="42"/>
      <c r="AA43" s="141">
        <v>2</v>
      </c>
      <c r="AB43" s="46">
        <f>+(Z43/AA43)*(Z43/$O$43)</f>
        <v>0</v>
      </c>
      <c r="AC43" s="42"/>
      <c r="AD43" s="141">
        <v>13</v>
      </c>
      <c r="AE43" s="46">
        <f>+(AC43/AD43)*(AC43/$O$43)</f>
        <v>0</v>
      </c>
      <c r="AF43" s="60">
        <f>IF((V43+Y43+AB43+AE43)&gt;100%,100%,(V43+Y43+AB43+AE43))</f>
        <v>0.11764705882352941</v>
      </c>
      <c r="AG43" s="155">
        <f>+(AF43+AF44+AF45+AF46+AF47+AF48+AF50)/7</f>
        <v>0.35017386264850764</v>
      </c>
      <c r="AH43" s="46" t="s">
        <v>378</v>
      </c>
      <c r="AI43" s="61" t="s">
        <v>379</v>
      </c>
      <c r="AJ43" s="65" t="s">
        <v>380</v>
      </c>
      <c r="AK43" s="67" t="s">
        <v>381</v>
      </c>
      <c r="AL43" s="52" t="s">
        <v>382</v>
      </c>
      <c r="AM43" s="53" t="s">
        <v>672</v>
      </c>
      <c r="AN43" s="52"/>
      <c r="AO43" s="52"/>
      <c r="AP43" s="52"/>
      <c r="AQ43" s="52"/>
      <c r="AR43" s="54"/>
    </row>
    <row r="44" spans="1:44" s="55" customFormat="1" ht="148.5" customHeight="1" x14ac:dyDescent="0.2">
      <c r="A44" s="39">
        <v>34</v>
      </c>
      <c r="B44" s="40" t="s">
        <v>305</v>
      </c>
      <c r="C44" s="40" t="s">
        <v>369</v>
      </c>
      <c r="D44" s="41" t="s">
        <v>370</v>
      </c>
      <c r="E44" s="40" t="s">
        <v>371</v>
      </c>
      <c r="F44" s="40" t="s">
        <v>372</v>
      </c>
      <c r="G44" s="40" t="s">
        <v>383</v>
      </c>
      <c r="H44" s="40" t="s">
        <v>384</v>
      </c>
      <c r="I44" s="40" t="s">
        <v>385</v>
      </c>
      <c r="J44" s="40" t="s">
        <v>386</v>
      </c>
      <c r="K44" s="40" t="s">
        <v>66</v>
      </c>
      <c r="L44" s="40" t="s">
        <v>90</v>
      </c>
      <c r="M44" s="40">
        <v>0.9</v>
      </c>
      <c r="N44" s="40" t="s">
        <v>71</v>
      </c>
      <c r="O44" s="140">
        <v>29</v>
      </c>
      <c r="P44" s="142" t="s">
        <v>125</v>
      </c>
      <c r="Q44" s="143" t="s">
        <v>91</v>
      </c>
      <c r="R44" s="144">
        <v>45292</v>
      </c>
      <c r="S44" s="144">
        <v>45657</v>
      </c>
      <c r="T44" s="145">
        <v>4</v>
      </c>
      <c r="U44" s="141">
        <v>4</v>
      </c>
      <c r="V44" s="146">
        <f>+IFERROR((T44/U44)*(T44/$O$44),0)</f>
        <v>0.13793103448275862</v>
      </c>
      <c r="W44" s="145">
        <v>9</v>
      </c>
      <c r="X44" s="141">
        <v>9</v>
      </c>
      <c r="Y44" s="146">
        <f>+IFERROR((W44/X44)*(W44/$O$44),0)</f>
        <v>0.31034482758620691</v>
      </c>
      <c r="Z44" s="145"/>
      <c r="AA44" s="141">
        <v>6</v>
      </c>
      <c r="AB44" s="146">
        <f>+IFERROR((Z44/AA44)*(Z44/$O$44),0)</f>
        <v>0</v>
      </c>
      <c r="AC44" s="145"/>
      <c r="AD44" s="141">
        <v>10</v>
      </c>
      <c r="AE44" s="146">
        <f>+IFERROR((AC44/AD44)*(AC44/$O$44),0)</f>
        <v>0</v>
      </c>
      <c r="AF44" s="147">
        <f>+V44+Y44+AB44+AE44</f>
        <v>0.44827586206896552</v>
      </c>
      <c r="AG44" s="155"/>
      <c r="AH44" s="46" t="s">
        <v>387</v>
      </c>
      <c r="AI44" s="61" t="s">
        <v>379</v>
      </c>
      <c r="AJ44" s="65" t="s">
        <v>388</v>
      </c>
      <c r="AK44" s="67" t="s">
        <v>389</v>
      </c>
      <c r="AL44" s="52" t="s">
        <v>390</v>
      </c>
      <c r="AM44" s="53" t="s">
        <v>639</v>
      </c>
      <c r="AN44" s="52"/>
      <c r="AO44" s="52"/>
      <c r="AP44" s="52"/>
      <c r="AQ44" s="52"/>
      <c r="AR44" s="54"/>
    </row>
    <row r="45" spans="1:44" s="55" customFormat="1" ht="221.25" customHeight="1" x14ac:dyDescent="0.2">
      <c r="A45" s="39">
        <v>35</v>
      </c>
      <c r="B45" s="40" t="s">
        <v>391</v>
      </c>
      <c r="C45" s="40" t="s">
        <v>392</v>
      </c>
      <c r="D45" s="41" t="s">
        <v>370</v>
      </c>
      <c r="E45" s="40" t="s">
        <v>393</v>
      </c>
      <c r="F45" s="40" t="s">
        <v>372</v>
      </c>
      <c r="G45" s="40" t="s">
        <v>394</v>
      </c>
      <c r="H45" s="40" t="s">
        <v>395</v>
      </c>
      <c r="I45" s="40" t="s">
        <v>396</v>
      </c>
      <c r="J45" s="40" t="s">
        <v>386</v>
      </c>
      <c r="K45" s="40" t="s">
        <v>66</v>
      </c>
      <c r="L45" s="40" t="s">
        <v>90</v>
      </c>
      <c r="M45" s="40">
        <v>1</v>
      </c>
      <c r="N45" s="40" t="s">
        <v>71</v>
      </c>
      <c r="O45" s="140">
        <v>34</v>
      </c>
      <c r="P45" s="142" t="s">
        <v>125</v>
      </c>
      <c r="Q45" s="143" t="s">
        <v>91</v>
      </c>
      <c r="R45" s="144">
        <v>45292</v>
      </c>
      <c r="S45" s="144">
        <v>45657</v>
      </c>
      <c r="T45" s="145">
        <v>5</v>
      </c>
      <c r="U45" s="141">
        <v>5</v>
      </c>
      <c r="V45" s="146">
        <f>+IFERROR((T45/U45)*(T45/$O$45),0)</f>
        <v>0.14705882352941177</v>
      </c>
      <c r="W45" s="145">
        <v>9</v>
      </c>
      <c r="X45" s="141">
        <v>10</v>
      </c>
      <c r="Y45" s="146">
        <f>+IFERROR((W45/X45)*(W45/$O$45),0)</f>
        <v>0.23823529411764707</v>
      </c>
      <c r="Z45" s="145"/>
      <c r="AA45" s="141">
        <v>9</v>
      </c>
      <c r="AB45" s="146">
        <f>+IFERROR((Z45/AA45)*(Z45/$O$45),0)</f>
        <v>0</v>
      </c>
      <c r="AC45" s="145"/>
      <c r="AD45" s="141">
        <v>10</v>
      </c>
      <c r="AE45" s="146">
        <f>+IFERROR((AC45/AD45)*(AC45/$O$45),0)</f>
        <v>0</v>
      </c>
      <c r="AF45" s="60">
        <f>+V45+Y45+AB45+AE45</f>
        <v>0.38529411764705884</v>
      </c>
      <c r="AG45" s="155"/>
      <c r="AH45" s="46" t="s">
        <v>387</v>
      </c>
      <c r="AI45" s="61" t="s">
        <v>379</v>
      </c>
      <c r="AJ45" s="65" t="s">
        <v>397</v>
      </c>
      <c r="AK45" s="67" t="s">
        <v>398</v>
      </c>
      <c r="AL45" s="52" t="s">
        <v>399</v>
      </c>
      <c r="AM45" s="53" t="s">
        <v>640</v>
      </c>
      <c r="AN45" s="52"/>
      <c r="AO45" s="52"/>
      <c r="AP45" s="52"/>
      <c r="AQ45" s="52"/>
      <c r="AR45" s="54"/>
    </row>
    <row r="46" spans="1:44" s="55" customFormat="1" ht="149.25" customHeight="1" thickBot="1" x14ac:dyDescent="0.25">
      <c r="A46" s="39">
        <v>36</v>
      </c>
      <c r="B46" s="40" t="s">
        <v>305</v>
      </c>
      <c r="C46" s="40" t="s">
        <v>369</v>
      </c>
      <c r="D46" s="41" t="s">
        <v>370</v>
      </c>
      <c r="E46" s="40" t="s">
        <v>400</v>
      </c>
      <c r="F46" s="40" t="s">
        <v>372</v>
      </c>
      <c r="G46" s="40" t="s">
        <v>401</v>
      </c>
      <c r="H46" s="40" t="s">
        <v>402</v>
      </c>
      <c r="I46" s="40" t="s">
        <v>403</v>
      </c>
      <c r="J46" s="40" t="s">
        <v>404</v>
      </c>
      <c r="K46" s="40" t="s">
        <v>66</v>
      </c>
      <c r="L46" s="40" t="s">
        <v>90</v>
      </c>
      <c r="M46" s="40">
        <v>1</v>
      </c>
      <c r="N46" s="40" t="s">
        <v>71</v>
      </c>
      <c r="O46" s="42">
        <v>0.9</v>
      </c>
      <c r="P46" s="43">
        <v>0.25</v>
      </c>
      <c r="Q46" s="40" t="s">
        <v>91</v>
      </c>
      <c r="R46" s="44">
        <v>45292</v>
      </c>
      <c r="S46" s="44">
        <v>45657</v>
      </c>
      <c r="T46" s="42">
        <v>3</v>
      </c>
      <c r="U46" s="45">
        <v>3</v>
      </c>
      <c r="V46" s="46">
        <f>IFERROR((T46/U46)*$P$46,0)</f>
        <v>0.25</v>
      </c>
      <c r="W46" s="42">
        <v>3</v>
      </c>
      <c r="X46" s="45">
        <v>3</v>
      </c>
      <c r="Y46" s="46">
        <f>IFERROR((W46/X46)*$P$46,0)</f>
        <v>0.25</v>
      </c>
      <c r="Z46" s="42"/>
      <c r="AA46" s="45">
        <v>3</v>
      </c>
      <c r="AB46" s="46">
        <f>IFERROR((Z46/AA46)*$P$46,0)</f>
        <v>0</v>
      </c>
      <c r="AC46" s="42"/>
      <c r="AD46" s="45">
        <v>3</v>
      </c>
      <c r="AE46" s="46">
        <f>IFERROR((AC46/AD46)*$P$46,0)</f>
        <v>0</v>
      </c>
      <c r="AF46" s="60">
        <f>+V46+Y46+AB46+AE46</f>
        <v>0.5</v>
      </c>
      <c r="AG46" s="155"/>
      <c r="AH46" s="46" t="s">
        <v>405</v>
      </c>
      <c r="AI46" s="61" t="s">
        <v>406</v>
      </c>
      <c r="AJ46" s="65" t="s">
        <v>407</v>
      </c>
      <c r="AK46" s="67" t="s">
        <v>408</v>
      </c>
      <c r="AL46" s="52" t="s">
        <v>409</v>
      </c>
      <c r="AM46" s="53" t="s">
        <v>641</v>
      </c>
      <c r="AN46" s="52"/>
      <c r="AO46" s="52"/>
      <c r="AP46" s="52"/>
      <c r="AQ46" s="52"/>
      <c r="AR46" s="54"/>
    </row>
    <row r="47" spans="1:44" s="55" customFormat="1" ht="143.25" customHeight="1" thickBot="1" x14ac:dyDescent="0.25">
      <c r="A47" s="39">
        <v>37</v>
      </c>
      <c r="B47" s="40" t="s">
        <v>305</v>
      </c>
      <c r="C47" s="40" t="s">
        <v>369</v>
      </c>
      <c r="D47" s="41" t="s">
        <v>370</v>
      </c>
      <c r="E47" s="40" t="s">
        <v>410</v>
      </c>
      <c r="F47" s="40" t="s">
        <v>411</v>
      </c>
      <c r="G47" s="40" t="s">
        <v>412</v>
      </c>
      <c r="H47" s="40" t="s">
        <v>413</v>
      </c>
      <c r="I47" s="40" t="s">
        <v>414</v>
      </c>
      <c r="J47" s="40" t="s">
        <v>415</v>
      </c>
      <c r="K47" s="40" t="s">
        <v>66</v>
      </c>
      <c r="L47" s="40" t="s">
        <v>90</v>
      </c>
      <c r="M47" s="40">
        <v>1</v>
      </c>
      <c r="N47" s="40" t="s">
        <v>71</v>
      </c>
      <c r="O47" s="42">
        <v>1</v>
      </c>
      <c r="P47" s="43">
        <v>0.25</v>
      </c>
      <c r="Q47" s="40" t="s">
        <v>91</v>
      </c>
      <c r="R47" s="44">
        <v>45292</v>
      </c>
      <c r="S47" s="44">
        <v>45657</v>
      </c>
      <c r="T47" s="42">
        <v>10</v>
      </c>
      <c r="U47" s="45">
        <v>10</v>
      </c>
      <c r="V47" s="46">
        <f>IFERROR((T47/U47)*$P$47,0)</f>
        <v>0.25</v>
      </c>
      <c r="W47" s="42">
        <v>8</v>
      </c>
      <c r="X47" s="45">
        <v>8</v>
      </c>
      <c r="Y47" s="46">
        <f>IFERROR((W47/X47)*$P$47,0)</f>
        <v>0.25</v>
      </c>
      <c r="Z47" s="42"/>
      <c r="AA47" s="45"/>
      <c r="AB47" s="46">
        <f>IFERROR((Z47/AA47)*$P$47,0)</f>
        <v>0</v>
      </c>
      <c r="AC47" s="42"/>
      <c r="AD47" s="45"/>
      <c r="AE47" s="46">
        <f>IFERROR((AC47/AD47)*$P$47,0)</f>
        <v>0</v>
      </c>
      <c r="AF47" s="60">
        <f>+V47+Y47+AB47+AE47</f>
        <v>0.5</v>
      </c>
      <c r="AG47" s="155"/>
      <c r="AH47" s="46" t="s">
        <v>405</v>
      </c>
      <c r="AI47" s="61" t="s">
        <v>406</v>
      </c>
      <c r="AJ47" s="65" t="s">
        <v>416</v>
      </c>
      <c r="AK47" s="67" t="s">
        <v>417</v>
      </c>
      <c r="AL47" s="52" t="s">
        <v>418</v>
      </c>
      <c r="AM47" s="53" t="s">
        <v>673</v>
      </c>
      <c r="AN47" s="52"/>
      <c r="AO47" s="52"/>
      <c r="AP47" s="52"/>
      <c r="AQ47" s="52"/>
      <c r="AR47" s="54"/>
    </row>
    <row r="48" spans="1:44" s="55" customFormat="1" ht="129.75" customHeight="1" thickBot="1" x14ac:dyDescent="0.25">
      <c r="A48" s="39">
        <v>38</v>
      </c>
      <c r="B48" s="40" t="s">
        <v>305</v>
      </c>
      <c r="C48" s="40" t="s">
        <v>369</v>
      </c>
      <c r="D48" s="41" t="s">
        <v>370</v>
      </c>
      <c r="E48" s="40" t="s">
        <v>419</v>
      </c>
      <c r="F48" s="40" t="s">
        <v>372</v>
      </c>
      <c r="G48" s="40" t="s">
        <v>420</v>
      </c>
      <c r="H48" s="40" t="s">
        <v>421</v>
      </c>
      <c r="I48" s="40" t="s">
        <v>422</v>
      </c>
      <c r="J48" s="40" t="s">
        <v>423</v>
      </c>
      <c r="K48" s="40" t="s">
        <v>80</v>
      </c>
      <c r="L48" s="40" t="s">
        <v>90</v>
      </c>
      <c r="M48" s="40">
        <v>2</v>
      </c>
      <c r="N48" s="40" t="s">
        <v>71</v>
      </c>
      <c r="O48" s="42">
        <v>2</v>
      </c>
      <c r="P48" s="43">
        <v>0.5</v>
      </c>
      <c r="Q48" s="40" t="s">
        <v>328</v>
      </c>
      <c r="R48" s="44">
        <v>45292</v>
      </c>
      <c r="S48" s="44">
        <v>45657</v>
      </c>
      <c r="T48" s="42"/>
      <c r="U48" s="45"/>
      <c r="V48" s="46" t="s">
        <v>71</v>
      </c>
      <c r="W48" s="42">
        <v>0</v>
      </c>
      <c r="X48" s="45">
        <v>1</v>
      </c>
      <c r="Y48" s="46">
        <f>+W48/X48*$P$48</f>
        <v>0</v>
      </c>
      <c r="Z48" s="42"/>
      <c r="AA48" s="45">
        <v>1</v>
      </c>
      <c r="AB48" s="46">
        <f>+Z48/AA48*$P$48</f>
        <v>0</v>
      </c>
      <c r="AC48" s="42"/>
      <c r="AD48" s="45"/>
      <c r="AE48" s="46" t="s">
        <v>71</v>
      </c>
      <c r="AF48" s="60">
        <f>+Y48+AB48</f>
        <v>0</v>
      </c>
      <c r="AG48" s="155"/>
      <c r="AH48" s="46" t="s">
        <v>378</v>
      </c>
      <c r="AI48" s="61" t="s">
        <v>379</v>
      </c>
      <c r="AJ48" s="65" t="s">
        <v>424</v>
      </c>
      <c r="AK48" s="67" t="s">
        <v>425</v>
      </c>
      <c r="AL48" s="52" t="s">
        <v>426</v>
      </c>
      <c r="AM48" s="53" t="s">
        <v>674</v>
      </c>
      <c r="AN48" s="52"/>
      <c r="AO48" s="52"/>
      <c r="AP48" s="52"/>
      <c r="AQ48" s="52"/>
      <c r="AR48" s="54"/>
    </row>
    <row r="49" spans="1:44" s="55" customFormat="1" ht="77.25" customHeight="1" x14ac:dyDescent="0.2">
      <c r="A49" s="39">
        <v>39</v>
      </c>
      <c r="B49" s="40" t="s">
        <v>305</v>
      </c>
      <c r="C49" s="40" t="s">
        <v>369</v>
      </c>
      <c r="D49" s="41" t="s">
        <v>370</v>
      </c>
      <c r="E49" s="40" t="s">
        <v>419</v>
      </c>
      <c r="F49" s="40" t="s">
        <v>372</v>
      </c>
      <c r="G49" s="40" t="s">
        <v>427</v>
      </c>
      <c r="H49" s="40" t="s">
        <v>428</v>
      </c>
      <c r="I49" s="40" t="s">
        <v>429</v>
      </c>
      <c r="J49" s="40" t="s">
        <v>430</v>
      </c>
      <c r="K49" s="40" t="s">
        <v>431</v>
      </c>
      <c r="L49" s="40" t="s">
        <v>90</v>
      </c>
      <c r="M49" s="40" t="s">
        <v>432</v>
      </c>
      <c r="N49" s="40" t="s">
        <v>433</v>
      </c>
      <c r="O49" s="74" t="s">
        <v>434</v>
      </c>
      <c r="P49" s="43">
        <v>1</v>
      </c>
      <c r="Q49" s="40" t="s">
        <v>70</v>
      </c>
      <c r="R49" s="44">
        <v>45292</v>
      </c>
      <c r="S49" s="44">
        <v>45657</v>
      </c>
      <c r="T49" s="42"/>
      <c r="U49" s="45"/>
      <c r="V49" s="46" t="s">
        <v>71</v>
      </c>
      <c r="W49" s="42"/>
      <c r="X49" s="45"/>
      <c r="Y49" s="46" t="s">
        <v>71</v>
      </c>
      <c r="Z49" s="42"/>
      <c r="AA49" s="45"/>
      <c r="AB49" s="46" t="s">
        <v>71</v>
      </c>
      <c r="AC49" s="42"/>
      <c r="AD49" s="45">
        <v>80</v>
      </c>
      <c r="AE49" s="46">
        <f>IF(AC49&gt;AD49,100%,AC49%)</f>
        <v>0</v>
      </c>
      <c r="AF49" s="60">
        <f>+AE49</f>
        <v>0</v>
      </c>
      <c r="AG49" s="155"/>
      <c r="AH49" s="46" t="s">
        <v>378</v>
      </c>
      <c r="AI49" s="61" t="s">
        <v>379</v>
      </c>
      <c r="AJ49" s="65" t="s">
        <v>435</v>
      </c>
      <c r="AK49" s="67" t="s">
        <v>436</v>
      </c>
      <c r="AL49" s="52" t="s">
        <v>437</v>
      </c>
      <c r="AM49" s="53" t="s">
        <v>675</v>
      </c>
      <c r="AN49" s="52"/>
      <c r="AO49" s="52"/>
      <c r="AP49" s="52"/>
      <c r="AQ49" s="52"/>
      <c r="AR49" s="54"/>
    </row>
    <row r="50" spans="1:44" s="55" customFormat="1" ht="141.75" customHeight="1" x14ac:dyDescent="0.2">
      <c r="A50" s="39">
        <v>40</v>
      </c>
      <c r="B50" s="40" t="s">
        <v>305</v>
      </c>
      <c r="C50" s="40" t="s">
        <v>369</v>
      </c>
      <c r="D50" s="41" t="s">
        <v>370</v>
      </c>
      <c r="E50" s="40" t="s">
        <v>438</v>
      </c>
      <c r="F50" s="40" t="s">
        <v>439</v>
      </c>
      <c r="G50" s="40" t="s">
        <v>440</v>
      </c>
      <c r="H50" s="40" t="s">
        <v>441</v>
      </c>
      <c r="I50" s="40" t="s">
        <v>442</v>
      </c>
      <c r="J50" s="40" t="s">
        <v>443</v>
      </c>
      <c r="K50" s="40" t="s">
        <v>80</v>
      </c>
      <c r="L50" s="40" t="s">
        <v>90</v>
      </c>
      <c r="M50" s="40" t="s">
        <v>71</v>
      </c>
      <c r="N50" s="40" t="s">
        <v>71</v>
      </c>
      <c r="O50" s="42">
        <v>2</v>
      </c>
      <c r="P50" s="43">
        <v>0.5</v>
      </c>
      <c r="Q50" s="40" t="s">
        <v>328</v>
      </c>
      <c r="R50" s="44">
        <v>45292</v>
      </c>
      <c r="S50" s="44">
        <v>45657</v>
      </c>
      <c r="T50" s="42">
        <v>1</v>
      </c>
      <c r="U50" s="45">
        <v>1</v>
      </c>
      <c r="V50" s="46">
        <f>+T50/U50*P50</f>
        <v>0.5</v>
      </c>
      <c r="W50" s="42"/>
      <c r="X50" s="45"/>
      <c r="Y50" s="46" t="s">
        <v>71</v>
      </c>
      <c r="Z50" s="42"/>
      <c r="AA50" s="45">
        <v>1</v>
      </c>
      <c r="AB50" s="46">
        <f>+Z50/AA50*$P$50</f>
        <v>0</v>
      </c>
      <c r="AC50" s="42"/>
      <c r="AD50" s="45">
        <v>0</v>
      </c>
      <c r="AE50" s="46" t="s">
        <v>71</v>
      </c>
      <c r="AF50" s="60">
        <f>V50+AB50</f>
        <v>0.5</v>
      </c>
      <c r="AG50" s="155"/>
      <c r="AH50" s="46" t="s">
        <v>378</v>
      </c>
      <c r="AI50" s="61" t="s">
        <v>379</v>
      </c>
      <c r="AJ50" s="65" t="s">
        <v>444</v>
      </c>
      <c r="AK50" s="67" t="s">
        <v>445</v>
      </c>
      <c r="AL50" s="52" t="s">
        <v>446</v>
      </c>
      <c r="AM50" s="71" t="s">
        <v>642</v>
      </c>
      <c r="AN50" s="52"/>
      <c r="AO50" s="52"/>
      <c r="AP50" s="52"/>
      <c r="AQ50" s="52"/>
      <c r="AR50" s="54"/>
    </row>
    <row r="51" spans="1:44" s="54" customFormat="1" ht="159.75" customHeight="1" x14ac:dyDescent="0.2">
      <c r="A51" s="39">
        <v>41</v>
      </c>
      <c r="B51" s="40" t="s">
        <v>447</v>
      </c>
      <c r="C51" s="40" t="s">
        <v>448</v>
      </c>
      <c r="D51" s="41" t="s">
        <v>449</v>
      </c>
      <c r="E51" s="40" t="s">
        <v>450</v>
      </c>
      <c r="F51" s="40" t="s">
        <v>451</v>
      </c>
      <c r="G51" s="40" t="s">
        <v>452</v>
      </c>
      <c r="H51" s="40" t="s">
        <v>453</v>
      </c>
      <c r="I51" s="40" t="s">
        <v>454</v>
      </c>
      <c r="J51" s="40" t="s">
        <v>455</v>
      </c>
      <c r="K51" s="40" t="s">
        <v>66</v>
      </c>
      <c r="L51" s="40" t="s">
        <v>117</v>
      </c>
      <c r="M51" s="40" t="s">
        <v>71</v>
      </c>
      <c r="N51" s="40" t="s">
        <v>71</v>
      </c>
      <c r="O51" s="64">
        <v>1</v>
      </c>
      <c r="P51" s="43">
        <v>0.25</v>
      </c>
      <c r="Q51" s="40" t="s">
        <v>91</v>
      </c>
      <c r="R51" s="44">
        <v>45292</v>
      </c>
      <c r="S51" s="44">
        <v>45657</v>
      </c>
      <c r="T51" s="87">
        <v>8802079275</v>
      </c>
      <c r="U51" s="87">
        <v>11655688070</v>
      </c>
      <c r="V51" s="46">
        <f>+(T51/U51)*$P$51</f>
        <v>0.18879364354420305</v>
      </c>
      <c r="W51" s="87">
        <v>10075361638</v>
      </c>
      <c r="X51" s="87">
        <v>12080971477</v>
      </c>
      <c r="Y51" s="46">
        <f>IFERROR((W51/X51)*$P$51,0)</f>
        <v>0.20849651158397484</v>
      </c>
      <c r="Z51" s="42"/>
      <c r="AA51" s="45"/>
      <c r="AB51" s="46">
        <f>IFERROR((Z51/AA51)*$P$51,0)</f>
        <v>0</v>
      </c>
      <c r="AC51" s="42"/>
      <c r="AD51" s="45"/>
      <c r="AE51" s="46">
        <f>IFERROR((AC51/AD51)*$P$51,0)</f>
        <v>0</v>
      </c>
      <c r="AF51" s="60">
        <f t="shared" ref="AF51:AF57" si="2">+V51+Y51+AB51+AE51</f>
        <v>0.39729015512817789</v>
      </c>
      <c r="AG51" s="154">
        <f>+(AF51+AF53+AF55+AF56)/4</f>
        <v>0.3604568359079442</v>
      </c>
      <c r="AH51" s="46" t="s">
        <v>238</v>
      </c>
      <c r="AI51" s="61" t="s">
        <v>456</v>
      </c>
      <c r="AJ51" s="65" t="s">
        <v>457</v>
      </c>
      <c r="AK51" s="67" t="s">
        <v>458</v>
      </c>
      <c r="AL51" s="52" t="s">
        <v>459</v>
      </c>
      <c r="AM51" s="71" t="s">
        <v>643</v>
      </c>
      <c r="AN51" s="52"/>
      <c r="AO51" s="52"/>
      <c r="AP51" s="52"/>
      <c r="AQ51" s="52"/>
    </row>
    <row r="52" spans="1:44" s="54" customFormat="1" ht="135.75" customHeight="1" x14ac:dyDescent="0.2">
      <c r="A52" s="39">
        <v>42</v>
      </c>
      <c r="B52" s="40" t="s">
        <v>447</v>
      </c>
      <c r="C52" s="40" t="s">
        <v>448</v>
      </c>
      <c r="D52" s="41" t="s">
        <v>449</v>
      </c>
      <c r="E52" s="40" t="s">
        <v>450</v>
      </c>
      <c r="F52" s="40" t="s">
        <v>451</v>
      </c>
      <c r="G52" s="40" t="s">
        <v>452</v>
      </c>
      <c r="H52" s="40" t="s">
        <v>460</v>
      </c>
      <c r="I52" s="40" t="s">
        <v>461</v>
      </c>
      <c r="J52" s="40" t="s">
        <v>462</v>
      </c>
      <c r="K52" s="40" t="s">
        <v>66</v>
      </c>
      <c r="L52" s="40" t="s">
        <v>117</v>
      </c>
      <c r="M52" s="40" t="s">
        <v>71</v>
      </c>
      <c r="N52" s="40" t="s">
        <v>71</v>
      </c>
      <c r="O52" s="64">
        <v>1</v>
      </c>
      <c r="P52" s="43">
        <v>0.25</v>
      </c>
      <c r="Q52" s="40" t="s">
        <v>91</v>
      </c>
      <c r="R52" s="44">
        <v>45292</v>
      </c>
      <c r="S52" s="44">
        <v>45657</v>
      </c>
      <c r="T52" s="87">
        <v>4293116847</v>
      </c>
      <c r="U52" s="87">
        <v>11655688070</v>
      </c>
      <c r="V52" s="46">
        <f>+IFERROR((T52/U52)*$P$52,0)</f>
        <v>9.2082012259101231E-2</v>
      </c>
      <c r="W52" s="87">
        <v>4866735668</v>
      </c>
      <c r="X52" s="87">
        <v>12080971477</v>
      </c>
      <c r="Y52" s="46">
        <f>+IFERROR((W52/X52)*$P$52,0)</f>
        <v>0.10071076811300711</v>
      </c>
      <c r="Z52" s="42"/>
      <c r="AA52" s="45"/>
      <c r="AB52" s="46">
        <f>+IFERROR((Z52/AA52)*$P$52,0)</f>
        <v>0</v>
      </c>
      <c r="AC52" s="42"/>
      <c r="AD52" s="45"/>
      <c r="AE52" s="46">
        <f>+IFERROR((AC52/AD52)*$P$52,0)</f>
        <v>0</v>
      </c>
      <c r="AF52" s="60">
        <f t="shared" si="2"/>
        <v>0.19279278037210834</v>
      </c>
      <c r="AG52" s="154"/>
      <c r="AH52" s="46" t="s">
        <v>238</v>
      </c>
      <c r="AI52" s="61" t="s">
        <v>456</v>
      </c>
      <c r="AJ52" s="65" t="s">
        <v>463</v>
      </c>
      <c r="AK52" s="67" t="s">
        <v>464</v>
      </c>
      <c r="AL52" s="52" t="s">
        <v>465</v>
      </c>
      <c r="AM52" s="53" t="s">
        <v>644</v>
      </c>
      <c r="AN52" s="52"/>
      <c r="AO52" s="52"/>
      <c r="AP52" s="52"/>
      <c r="AQ52" s="52"/>
    </row>
    <row r="53" spans="1:44" s="69" customFormat="1" ht="83.25" customHeight="1" x14ac:dyDescent="0.2">
      <c r="A53" s="39">
        <v>43</v>
      </c>
      <c r="B53" s="40" t="s">
        <v>447</v>
      </c>
      <c r="C53" s="40" t="s">
        <v>448</v>
      </c>
      <c r="D53" s="41" t="s">
        <v>449</v>
      </c>
      <c r="E53" s="40" t="s">
        <v>450</v>
      </c>
      <c r="F53" s="40" t="s">
        <v>451</v>
      </c>
      <c r="G53" s="40" t="s">
        <v>466</v>
      </c>
      <c r="H53" s="40" t="s">
        <v>467</v>
      </c>
      <c r="I53" s="40" t="s">
        <v>468</v>
      </c>
      <c r="J53" s="40" t="s">
        <v>469</v>
      </c>
      <c r="K53" s="40" t="s">
        <v>66</v>
      </c>
      <c r="L53" s="40" t="s">
        <v>67</v>
      </c>
      <c r="M53" s="40" t="s">
        <v>71</v>
      </c>
      <c r="N53" s="40" t="s">
        <v>470</v>
      </c>
      <c r="O53" s="64">
        <v>1</v>
      </c>
      <c r="P53" s="43">
        <v>0.25</v>
      </c>
      <c r="Q53" s="40" t="s">
        <v>91</v>
      </c>
      <c r="R53" s="44">
        <v>45292</v>
      </c>
      <c r="S53" s="44">
        <v>45657</v>
      </c>
      <c r="T53" s="42">
        <v>5</v>
      </c>
      <c r="U53" s="45">
        <v>5</v>
      </c>
      <c r="V53" s="46">
        <f>+IFERROR((T53/U53)*$P$53,0)</f>
        <v>0.25</v>
      </c>
      <c r="W53" s="42">
        <v>5</v>
      </c>
      <c r="X53" s="45">
        <v>5</v>
      </c>
      <c r="Y53" s="46">
        <f>+IFERROR((W53/X53)*$P$53,0)</f>
        <v>0.25</v>
      </c>
      <c r="Z53" s="42"/>
      <c r="AA53" s="45"/>
      <c r="AB53" s="46">
        <f>+IFERROR((Z53/AA53)*$P$53,0)</f>
        <v>0</v>
      </c>
      <c r="AC53" s="42"/>
      <c r="AD53" s="45"/>
      <c r="AE53" s="46">
        <f>+IFERROR((AC53/AD53)*$P$53,0)</f>
        <v>0</v>
      </c>
      <c r="AF53" s="60">
        <f t="shared" si="2"/>
        <v>0.5</v>
      </c>
      <c r="AG53" s="154"/>
      <c r="AH53" s="46" t="s">
        <v>238</v>
      </c>
      <c r="AI53" s="61" t="s">
        <v>456</v>
      </c>
      <c r="AJ53" s="65" t="s">
        <v>471</v>
      </c>
      <c r="AK53" s="67" t="s">
        <v>472</v>
      </c>
      <c r="AL53" s="52" t="s">
        <v>473</v>
      </c>
      <c r="AM53" s="53" t="s">
        <v>472</v>
      </c>
      <c r="AN53" s="52"/>
      <c r="AO53" s="52"/>
      <c r="AP53" s="52"/>
      <c r="AQ53" s="52"/>
    </row>
    <row r="54" spans="1:44" s="54" customFormat="1" ht="160.5" customHeight="1" thickBot="1" x14ac:dyDescent="0.25">
      <c r="A54" s="39">
        <v>44</v>
      </c>
      <c r="B54" s="40" t="s">
        <v>447</v>
      </c>
      <c r="C54" s="40" t="s">
        <v>448</v>
      </c>
      <c r="D54" s="41" t="s">
        <v>449</v>
      </c>
      <c r="E54" s="40" t="s">
        <v>450</v>
      </c>
      <c r="F54" s="40" t="s">
        <v>451</v>
      </c>
      <c r="G54" s="40" t="s">
        <v>474</v>
      </c>
      <c r="H54" s="40" t="s">
        <v>475</v>
      </c>
      <c r="I54" s="40" t="s">
        <v>476</v>
      </c>
      <c r="J54" s="40" t="s">
        <v>477</v>
      </c>
      <c r="K54" s="40" t="s">
        <v>478</v>
      </c>
      <c r="L54" s="40" t="s">
        <v>117</v>
      </c>
      <c r="M54" s="40" t="s">
        <v>71</v>
      </c>
      <c r="N54" s="40" t="s">
        <v>71</v>
      </c>
      <c r="O54" s="42">
        <v>12</v>
      </c>
      <c r="P54" s="43">
        <v>0.25</v>
      </c>
      <c r="Q54" s="40" t="s">
        <v>91</v>
      </c>
      <c r="R54" s="44">
        <v>45292</v>
      </c>
      <c r="S54" s="44">
        <v>45657</v>
      </c>
      <c r="T54" s="42">
        <v>3</v>
      </c>
      <c r="U54" s="45">
        <v>3</v>
      </c>
      <c r="V54" s="46">
        <f>+IFERROR((T54/U54)*$P$54,0)</f>
        <v>0.25</v>
      </c>
      <c r="W54" s="42">
        <v>3</v>
      </c>
      <c r="X54" s="45">
        <v>3</v>
      </c>
      <c r="Y54" s="46">
        <f>+IFERROR((W54/X54)*$P$54,0)</f>
        <v>0.25</v>
      </c>
      <c r="Z54" s="42"/>
      <c r="AA54" s="45">
        <v>3</v>
      </c>
      <c r="AB54" s="46">
        <f>+IFERROR((Z54/AA54)*$P$54,0)</f>
        <v>0</v>
      </c>
      <c r="AC54" s="42"/>
      <c r="AD54" s="45">
        <v>3</v>
      </c>
      <c r="AE54" s="46">
        <f>+IFERROR((AC54/AD54)*$P$54,0)</f>
        <v>0</v>
      </c>
      <c r="AF54" s="60">
        <f t="shared" si="2"/>
        <v>0.5</v>
      </c>
      <c r="AG54" s="154"/>
      <c r="AH54" s="46" t="s">
        <v>238</v>
      </c>
      <c r="AI54" s="61" t="s">
        <v>456</v>
      </c>
      <c r="AJ54" s="65" t="s">
        <v>479</v>
      </c>
      <c r="AK54" s="67" t="s">
        <v>480</v>
      </c>
      <c r="AL54" s="52" t="s">
        <v>481</v>
      </c>
      <c r="AM54" s="71" t="s">
        <v>676</v>
      </c>
      <c r="AN54" s="52"/>
      <c r="AO54" s="52"/>
      <c r="AP54" s="52"/>
      <c r="AQ54" s="52"/>
    </row>
    <row r="55" spans="1:44" s="54" customFormat="1" ht="112.5" customHeight="1" thickBot="1" x14ac:dyDescent="0.25">
      <c r="A55" s="39">
        <v>45</v>
      </c>
      <c r="B55" s="40" t="s">
        <v>447</v>
      </c>
      <c r="C55" s="40" t="s">
        <v>448</v>
      </c>
      <c r="D55" s="41" t="s">
        <v>449</v>
      </c>
      <c r="E55" s="40" t="s">
        <v>482</v>
      </c>
      <c r="F55" s="40" t="s">
        <v>483</v>
      </c>
      <c r="G55" s="40" t="s">
        <v>484</v>
      </c>
      <c r="H55" s="40" t="s">
        <v>485</v>
      </c>
      <c r="I55" s="40" t="s">
        <v>486</v>
      </c>
      <c r="J55" s="40" t="s">
        <v>487</v>
      </c>
      <c r="K55" s="40" t="s">
        <v>478</v>
      </c>
      <c r="L55" s="40" t="s">
        <v>117</v>
      </c>
      <c r="M55" s="40" t="s">
        <v>488</v>
      </c>
      <c r="N55" s="40" t="s">
        <v>489</v>
      </c>
      <c r="O55" s="64">
        <v>1</v>
      </c>
      <c r="P55" s="43">
        <v>0.25</v>
      </c>
      <c r="Q55" s="40" t="s">
        <v>91</v>
      </c>
      <c r="R55" s="44">
        <v>45292</v>
      </c>
      <c r="S55" s="44">
        <v>45657</v>
      </c>
      <c r="T55" s="87">
        <v>8279538860</v>
      </c>
      <c r="U55" s="87">
        <v>11655688070</v>
      </c>
      <c r="V55" s="46">
        <f>IFERROR((T55/U55)*$P$55,0)</f>
        <v>0.17758580210528918</v>
      </c>
      <c r="W55" s="87">
        <v>9721860485</v>
      </c>
      <c r="X55" s="87">
        <v>12080971477</v>
      </c>
      <c r="Y55" s="46">
        <f>IFERROR((W55/X55)*$P$55,0)</f>
        <v>0.20118126475815037</v>
      </c>
      <c r="Z55" s="42"/>
      <c r="AA55" s="45"/>
      <c r="AB55" s="46">
        <f>IFERROR((Z55/AA55)*$P$55,0)</f>
        <v>0</v>
      </c>
      <c r="AC55" s="42"/>
      <c r="AD55" s="45"/>
      <c r="AE55" s="46">
        <f>IFERROR((AC55/AD55)*$P$55,0)</f>
        <v>0</v>
      </c>
      <c r="AF55" s="60">
        <f t="shared" si="2"/>
        <v>0.37876706686343953</v>
      </c>
      <c r="AG55" s="154"/>
      <c r="AH55" s="46" t="s">
        <v>238</v>
      </c>
      <c r="AI55" s="61" t="s">
        <v>456</v>
      </c>
      <c r="AJ55" s="65" t="s">
        <v>490</v>
      </c>
      <c r="AK55" s="67" t="s">
        <v>491</v>
      </c>
      <c r="AL55" s="52" t="s">
        <v>492</v>
      </c>
      <c r="AM55" s="67" t="s">
        <v>645</v>
      </c>
      <c r="AN55" s="52"/>
      <c r="AO55" s="52"/>
      <c r="AP55" s="52"/>
      <c r="AQ55" s="52"/>
    </row>
    <row r="56" spans="1:44" s="54" customFormat="1" ht="101.25" customHeight="1" thickBot="1" x14ac:dyDescent="0.25">
      <c r="A56" s="39">
        <v>46</v>
      </c>
      <c r="B56" s="40" t="s">
        <v>447</v>
      </c>
      <c r="C56" s="40" t="s">
        <v>448</v>
      </c>
      <c r="D56" s="41" t="s">
        <v>449</v>
      </c>
      <c r="E56" s="40" t="s">
        <v>482</v>
      </c>
      <c r="F56" s="40" t="s">
        <v>483</v>
      </c>
      <c r="G56" s="40" t="s">
        <v>493</v>
      </c>
      <c r="H56" s="40" t="s">
        <v>494</v>
      </c>
      <c r="I56" s="40" t="s">
        <v>495</v>
      </c>
      <c r="J56" s="40" t="s">
        <v>496</v>
      </c>
      <c r="K56" s="40" t="s">
        <v>478</v>
      </c>
      <c r="L56" s="40" t="s">
        <v>117</v>
      </c>
      <c r="M56" s="40" t="s">
        <v>488</v>
      </c>
      <c r="N56" s="40" t="s">
        <v>489</v>
      </c>
      <c r="O56" s="64">
        <v>1</v>
      </c>
      <c r="P56" s="43">
        <v>0.25</v>
      </c>
      <c r="Q56" s="40" t="s">
        <v>91</v>
      </c>
      <c r="R56" s="44">
        <v>45292</v>
      </c>
      <c r="S56" s="44">
        <v>45657</v>
      </c>
      <c r="T56" s="87">
        <v>3257017782</v>
      </c>
      <c r="U56" s="87">
        <v>11655688070</v>
      </c>
      <c r="V56" s="46">
        <f>+IFERROR((T56/U56)*$P$55,0)</f>
        <v>6.9858977059944607E-2</v>
      </c>
      <c r="W56" s="87">
        <v>4634799208</v>
      </c>
      <c r="X56" s="87">
        <v>12080971477</v>
      </c>
      <c r="Y56" s="46">
        <f>+IFERROR((W56/X56)*$P$55,0)</f>
        <v>9.5911144580214949E-2</v>
      </c>
      <c r="Z56" s="42"/>
      <c r="AA56" s="45"/>
      <c r="AB56" s="46">
        <f>+IFERROR((Z56/AA56)*$P$55,0)</f>
        <v>0</v>
      </c>
      <c r="AC56" s="42"/>
      <c r="AD56" s="45"/>
      <c r="AE56" s="46">
        <f>+IFERROR((AC56/AD56)*$P$55,0)</f>
        <v>0</v>
      </c>
      <c r="AF56" s="60">
        <f t="shared" si="2"/>
        <v>0.16577012164015956</v>
      </c>
      <c r="AG56" s="154"/>
      <c r="AH56" s="46" t="s">
        <v>238</v>
      </c>
      <c r="AI56" s="61" t="s">
        <v>456</v>
      </c>
      <c r="AJ56" s="65" t="s">
        <v>497</v>
      </c>
      <c r="AK56" s="67" t="s">
        <v>498</v>
      </c>
      <c r="AL56" s="52" t="s">
        <v>499</v>
      </c>
      <c r="AM56" s="67" t="s">
        <v>646</v>
      </c>
      <c r="AN56" s="52"/>
      <c r="AO56" s="52"/>
      <c r="AP56" s="52"/>
      <c r="AQ56" s="52"/>
    </row>
    <row r="57" spans="1:44" s="54" customFormat="1" ht="333" customHeight="1" thickBot="1" x14ac:dyDescent="0.25">
      <c r="A57" s="39">
        <v>47</v>
      </c>
      <c r="B57" s="40" t="s">
        <v>305</v>
      </c>
      <c r="C57" s="40" t="s">
        <v>306</v>
      </c>
      <c r="D57" s="41" t="s">
        <v>500</v>
      </c>
      <c r="E57" s="40" t="s">
        <v>501</v>
      </c>
      <c r="F57" s="40" t="s">
        <v>502</v>
      </c>
      <c r="G57" s="40" t="s">
        <v>503</v>
      </c>
      <c r="H57" s="40" t="s">
        <v>504</v>
      </c>
      <c r="I57" s="40" t="s">
        <v>505</v>
      </c>
      <c r="J57" s="40" t="s">
        <v>506</v>
      </c>
      <c r="K57" s="40" t="s">
        <v>80</v>
      </c>
      <c r="L57" s="40" t="s">
        <v>67</v>
      </c>
      <c r="M57" s="40">
        <v>6000</v>
      </c>
      <c r="N57" s="40" t="s">
        <v>507</v>
      </c>
      <c r="O57" s="42">
        <v>6000</v>
      </c>
      <c r="P57" s="43">
        <v>0.25</v>
      </c>
      <c r="Q57" s="40" t="s">
        <v>508</v>
      </c>
      <c r="R57" s="44">
        <v>45292</v>
      </c>
      <c r="S57" s="44">
        <v>45657</v>
      </c>
      <c r="T57" s="42">
        <v>622</v>
      </c>
      <c r="U57" s="45">
        <v>1500</v>
      </c>
      <c r="V57" s="46">
        <f>IFERROR((T57/U57)*$P$57,0)</f>
        <v>0.10366666666666667</v>
      </c>
      <c r="W57" s="42">
        <v>1600</v>
      </c>
      <c r="X57" s="45">
        <v>1500</v>
      </c>
      <c r="Y57" s="46">
        <f>IFERROR((W57/X57)*$P$57,0)</f>
        <v>0.26666666666666666</v>
      </c>
      <c r="Z57" s="42"/>
      <c r="AA57" s="45">
        <v>1500</v>
      </c>
      <c r="AB57" s="46">
        <f>IFERROR((Z57/AA57)*$P$57,0)</f>
        <v>0</v>
      </c>
      <c r="AC57" s="42"/>
      <c r="AD57" s="45">
        <v>1500</v>
      </c>
      <c r="AE57" s="46">
        <f>IFERROR((AC57/AD57)*$P$57,0)</f>
        <v>0</v>
      </c>
      <c r="AF57" s="60">
        <f t="shared" si="2"/>
        <v>0.37033333333333335</v>
      </c>
      <c r="AG57" s="157">
        <f>+(AF57+AF58+AF59)/3</f>
        <v>0.37344444444444447</v>
      </c>
      <c r="AH57" s="46" t="s">
        <v>109</v>
      </c>
      <c r="AI57" s="61" t="s">
        <v>509</v>
      </c>
      <c r="AJ57" s="65" t="s">
        <v>510</v>
      </c>
      <c r="AK57" s="66"/>
      <c r="AL57" s="65" t="s">
        <v>511</v>
      </c>
      <c r="AM57" s="153" t="s">
        <v>684</v>
      </c>
      <c r="AN57" s="52"/>
      <c r="AO57" s="52"/>
      <c r="AP57" s="52"/>
      <c r="AQ57" s="52"/>
    </row>
    <row r="58" spans="1:44" s="54" customFormat="1" ht="123" customHeight="1" thickBot="1" x14ac:dyDescent="0.25">
      <c r="A58" s="39">
        <v>48</v>
      </c>
      <c r="B58" s="40" t="s">
        <v>305</v>
      </c>
      <c r="C58" s="40" t="s">
        <v>306</v>
      </c>
      <c r="D58" s="41" t="s">
        <v>512</v>
      </c>
      <c r="E58" s="40" t="s">
        <v>501</v>
      </c>
      <c r="F58" s="40" t="s">
        <v>502</v>
      </c>
      <c r="G58" s="40" t="s">
        <v>513</v>
      </c>
      <c r="H58" s="40" t="s">
        <v>514</v>
      </c>
      <c r="I58" s="40" t="s">
        <v>515</v>
      </c>
      <c r="J58" s="40" t="s">
        <v>516</v>
      </c>
      <c r="K58" s="40" t="s">
        <v>80</v>
      </c>
      <c r="L58" s="40" t="s">
        <v>67</v>
      </c>
      <c r="M58" s="40" t="s">
        <v>517</v>
      </c>
      <c r="N58" s="40" t="s">
        <v>71</v>
      </c>
      <c r="O58" s="42">
        <v>2</v>
      </c>
      <c r="P58" s="43">
        <v>0.5</v>
      </c>
      <c r="Q58" s="40" t="s">
        <v>157</v>
      </c>
      <c r="R58" s="44">
        <v>45292</v>
      </c>
      <c r="S58" s="44">
        <v>45657</v>
      </c>
      <c r="T58" s="42"/>
      <c r="U58" s="45"/>
      <c r="V58" s="46" t="s">
        <v>314</v>
      </c>
      <c r="W58" s="42">
        <v>1</v>
      </c>
      <c r="X58" s="45">
        <v>1</v>
      </c>
      <c r="Y58" s="46">
        <f>+(W58/X58)*$P$58</f>
        <v>0.5</v>
      </c>
      <c r="Z58" s="42"/>
      <c r="AA58" s="45">
        <v>1</v>
      </c>
      <c r="AB58" s="46">
        <f>+(Z58/AA58)*$P$58</f>
        <v>0</v>
      </c>
      <c r="AC58" s="42"/>
      <c r="AD58" s="45"/>
      <c r="AE58" s="46" t="s">
        <v>314</v>
      </c>
      <c r="AF58" s="60">
        <f>+Y58+AB58</f>
        <v>0.5</v>
      </c>
      <c r="AG58" s="158"/>
      <c r="AH58" s="46" t="s">
        <v>109</v>
      </c>
      <c r="AI58" s="61" t="s">
        <v>509</v>
      </c>
      <c r="AJ58" s="65" t="s">
        <v>518</v>
      </c>
      <c r="AK58" s="67" t="s">
        <v>519</v>
      </c>
      <c r="AL58" s="65" t="s">
        <v>520</v>
      </c>
      <c r="AM58" s="71" t="s">
        <v>682</v>
      </c>
      <c r="AN58" s="52"/>
      <c r="AO58" s="52"/>
      <c r="AP58" s="52"/>
      <c r="AQ58" s="52"/>
    </row>
    <row r="59" spans="1:44" s="70" customFormat="1" ht="143.25" customHeight="1" thickBot="1" x14ac:dyDescent="0.25">
      <c r="A59" s="39">
        <v>49</v>
      </c>
      <c r="B59" s="40" t="s">
        <v>305</v>
      </c>
      <c r="C59" s="40" t="s">
        <v>306</v>
      </c>
      <c r="D59" s="41" t="s">
        <v>512</v>
      </c>
      <c r="E59" s="40" t="s">
        <v>501</v>
      </c>
      <c r="F59" s="40" t="s">
        <v>502</v>
      </c>
      <c r="G59" s="40" t="s">
        <v>521</v>
      </c>
      <c r="H59" s="40" t="s">
        <v>522</v>
      </c>
      <c r="I59" s="40" t="s">
        <v>523</v>
      </c>
      <c r="J59" s="40" t="s">
        <v>524</v>
      </c>
      <c r="K59" s="40" t="s">
        <v>66</v>
      </c>
      <c r="L59" s="40" t="s">
        <v>67</v>
      </c>
      <c r="M59" s="40" t="s">
        <v>314</v>
      </c>
      <c r="N59" s="40" t="s">
        <v>525</v>
      </c>
      <c r="O59" s="42">
        <v>0.98</v>
      </c>
      <c r="P59" s="43">
        <v>0.25</v>
      </c>
      <c r="Q59" s="40" t="s">
        <v>526</v>
      </c>
      <c r="R59" s="44">
        <v>45292</v>
      </c>
      <c r="S59" s="44">
        <v>45657</v>
      </c>
      <c r="T59" s="40" t="s">
        <v>316</v>
      </c>
      <c r="U59" s="88" t="s">
        <v>539</v>
      </c>
      <c r="V59" s="46">
        <f>IFERROR((T59/U59)*$P$59,0)</f>
        <v>0</v>
      </c>
      <c r="W59" s="42">
        <v>190</v>
      </c>
      <c r="X59" s="45">
        <v>190</v>
      </c>
      <c r="Y59" s="46">
        <f>IFERROR((W59/X59)*$P$59,0)</f>
        <v>0.25</v>
      </c>
      <c r="Z59" s="42"/>
      <c r="AA59" s="45"/>
      <c r="AB59" s="46">
        <f>IFERROR((Z59/AA59)*$P$59,0)</f>
        <v>0</v>
      </c>
      <c r="AC59" s="42"/>
      <c r="AD59" s="45"/>
      <c r="AE59" s="46">
        <f>IFERROR((AC59/AD59)*$P$59,0)</f>
        <v>0</v>
      </c>
      <c r="AF59" s="60">
        <f>Y59+AB59+AE59</f>
        <v>0.25</v>
      </c>
      <c r="AG59" s="158"/>
      <c r="AH59" s="46" t="s">
        <v>109</v>
      </c>
      <c r="AI59" s="61" t="s">
        <v>509</v>
      </c>
      <c r="AJ59" s="65" t="s">
        <v>527</v>
      </c>
      <c r="AK59" s="67" t="s">
        <v>519</v>
      </c>
      <c r="AL59" s="65" t="s">
        <v>683</v>
      </c>
      <c r="AM59" s="53" t="s">
        <v>677</v>
      </c>
      <c r="AN59" s="52"/>
      <c r="AO59" s="52"/>
      <c r="AP59" s="52"/>
      <c r="AQ59" s="52"/>
    </row>
    <row r="60" spans="1:44" s="55" customFormat="1" ht="114.75" customHeight="1" thickBot="1" x14ac:dyDescent="0.25">
      <c r="A60" s="39">
        <v>50</v>
      </c>
      <c r="B60" s="40" t="s">
        <v>528</v>
      </c>
      <c r="C60" s="40" t="s">
        <v>58</v>
      </c>
      <c r="D60" s="41" t="s">
        <v>529</v>
      </c>
      <c r="E60" s="40" t="s">
        <v>530</v>
      </c>
      <c r="F60" s="40" t="s">
        <v>531</v>
      </c>
      <c r="G60" s="40" t="s">
        <v>532</v>
      </c>
      <c r="H60" s="40" t="s">
        <v>533</v>
      </c>
      <c r="I60" s="40" t="s">
        <v>534</v>
      </c>
      <c r="J60" s="40" t="s">
        <v>535</v>
      </c>
      <c r="K60" s="40" t="s">
        <v>80</v>
      </c>
      <c r="L60" s="40" t="s">
        <v>536</v>
      </c>
      <c r="M60" s="40" t="s">
        <v>537</v>
      </c>
      <c r="N60" s="40" t="s">
        <v>538</v>
      </c>
      <c r="O60" s="42">
        <v>11</v>
      </c>
      <c r="P60" s="43" t="s">
        <v>125</v>
      </c>
      <c r="Q60" s="40" t="s">
        <v>268</v>
      </c>
      <c r="R60" s="44">
        <v>45292</v>
      </c>
      <c r="S60" s="44">
        <v>45657</v>
      </c>
      <c r="T60" s="40" t="s">
        <v>316</v>
      </c>
      <c r="U60" s="88" t="s">
        <v>539</v>
      </c>
      <c r="V60" s="46">
        <f>+IFERROR((T60/U60)*(T60/$O$60),0)</f>
        <v>0</v>
      </c>
      <c r="W60" s="40" t="s">
        <v>316</v>
      </c>
      <c r="X60" s="88" t="s">
        <v>539</v>
      </c>
      <c r="Y60" s="46">
        <f>+IFERROR((W60/X60)*(W60/$O$60),0)</f>
        <v>0</v>
      </c>
      <c r="Z60" s="42"/>
      <c r="AA60" s="45"/>
      <c r="AB60" s="46">
        <f>+IFERROR((Z60/AA60)*(Z60/$O$60),0)</f>
        <v>0</v>
      </c>
      <c r="AC60" s="42"/>
      <c r="AD60" s="45"/>
      <c r="AE60" s="46">
        <f>+IFERROR((AC60/AD60)*(AC60/$O$60),0)</f>
        <v>0</v>
      </c>
      <c r="AF60" s="60">
        <f>IF(Y60+AB60+AE6+V60&gt;100%,100%,Y60+AB60+AE6+V60)</f>
        <v>0</v>
      </c>
      <c r="AG60" s="156">
        <f>+(AF60+AF61+AF62+AF63+AF64+AF65)/6</f>
        <v>0.20238095238095241</v>
      </c>
      <c r="AH60" s="46" t="s">
        <v>540</v>
      </c>
      <c r="AI60" s="61" t="s">
        <v>540</v>
      </c>
      <c r="AJ60" s="65" t="s">
        <v>541</v>
      </c>
      <c r="AK60" s="67" t="s">
        <v>542</v>
      </c>
      <c r="AL60" s="148" t="s">
        <v>647</v>
      </c>
      <c r="AM60" s="53" t="s">
        <v>653</v>
      </c>
      <c r="AN60" s="52"/>
      <c r="AO60" s="52"/>
      <c r="AP60" s="52"/>
      <c r="AQ60" s="52"/>
      <c r="AR60" s="54"/>
    </row>
    <row r="61" spans="1:44" s="55" customFormat="1" ht="135.75" customHeight="1" x14ac:dyDescent="0.2">
      <c r="A61" s="39">
        <v>51</v>
      </c>
      <c r="B61" s="40" t="s">
        <v>528</v>
      </c>
      <c r="C61" s="40" t="s">
        <v>58</v>
      </c>
      <c r="D61" s="41" t="s">
        <v>529</v>
      </c>
      <c r="E61" s="40" t="s">
        <v>530</v>
      </c>
      <c r="F61" s="40" t="s">
        <v>531</v>
      </c>
      <c r="G61" s="40" t="s">
        <v>543</v>
      </c>
      <c r="H61" s="40" t="s">
        <v>544</v>
      </c>
      <c r="I61" s="40" t="s">
        <v>545</v>
      </c>
      <c r="J61" s="40" t="s">
        <v>546</v>
      </c>
      <c r="K61" s="40" t="s">
        <v>80</v>
      </c>
      <c r="L61" s="40" t="s">
        <v>536</v>
      </c>
      <c r="M61" s="40" t="s">
        <v>547</v>
      </c>
      <c r="N61" s="40" t="s">
        <v>548</v>
      </c>
      <c r="O61" s="42">
        <v>2</v>
      </c>
      <c r="P61" s="43">
        <v>0.5</v>
      </c>
      <c r="Q61" s="40" t="s">
        <v>549</v>
      </c>
      <c r="R61" s="44">
        <v>45292</v>
      </c>
      <c r="S61" s="44">
        <v>45657</v>
      </c>
      <c r="T61" s="42">
        <v>0</v>
      </c>
      <c r="U61" s="45">
        <v>1</v>
      </c>
      <c r="V61" s="46">
        <f>IFERROR((T61/U61)*$P$61,0)</f>
        <v>0</v>
      </c>
      <c r="W61" s="42">
        <v>1</v>
      </c>
      <c r="X61" s="45">
        <v>1</v>
      </c>
      <c r="Y61" s="46">
        <f>IFERROR((W61/X61)*$P$61,0)</f>
        <v>0.5</v>
      </c>
      <c r="Z61" s="42"/>
      <c r="AA61" s="45"/>
      <c r="AB61" s="46">
        <f>IFERROR((Z61/AA61)*$P$61,0)</f>
        <v>0</v>
      </c>
      <c r="AC61" s="42"/>
      <c r="AD61" s="45"/>
      <c r="AE61" s="46" t="s">
        <v>314</v>
      </c>
      <c r="AF61" s="60">
        <f>+V61+AB61+Y61</f>
        <v>0.5</v>
      </c>
      <c r="AG61" s="156"/>
      <c r="AH61" s="46" t="s">
        <v>540</v>
      </c>
      <c r="AI61" s="61" t="s">
        <v>540</v>
      </c>
      <c r="AJ61" s="65" t="s">
        <v>550</v>
      </c>
      <c r="AK61" s="67" t="s">
        <v>551</v>
      </c>
      <c r="AL61" s="148" t="s">
        <v>648</v>
      </c>
      <c r="AM61" s="53" t="s">
        <v>681</v>
      </c>
      <c r="AN61" s="52"/>
      <c r="AO61" s="52"/>
      <c r="AP61" s="52"/>
      <c r="AQ61" s="52"/>
      <c r="AR61" s="54"/>
    </row>
    <row r="62" spans="1:44" s="73" customFormat="1" ht="152.25" customHeight="1" x14ac:dyDescent="0.2">
      <c r="A62" s="39">
        <v>52</v>
      </c>
      <c r="B62" s="40" t="s">
        <v>528</v>
      </c>
      <c r="C62" s="40" t="s">
        <v>58</v>
      </c>
      <c r="D62" s="41" t="s">
        <v>529</v>
      </c>
      <c r="E62" s="40" t="s">
        <v>530</v>
      </c>
      <c r="F62" s="40" t="s">
        <v>531</v>
      </c>
      <c r="G62" s="40" t="s">
        <v>552</v>
      </c>
      <c r="H62" s="40" t="s">
        <v>553</v>
      </c>
      <c r="I62" s="40" t="s">
        <v>554</v>
      </c>
      <c r="J62" s="40" t="s">
        <v>555</v>
      </c>
      <c r="K62" s="40" t="s">
        <v>80</v>
      </c>
      <c r="L62" s="40" t="s">
        <v>556</v>
      </c>
      <c r="M62" s="40" t="s">
        <v>557</v>
      </c>
      <c r="N62" s="40" t="s">
        <v>558</v>
      </c>
      <c r="O62" s="42">
        <v>9</v>
      </c>
      <c r="P62" s="43">
        <v>0.25</v>
      </c>
      <c r="Q62" s="40" t="s">
        <v>559</v>
      </c>
      <c r="R62" s="44">
        <v>45292</v>
      </c>
      <c r="S62" s="44">
        <v>45657</v>
      </c>
      <c r="T62" s="42">
        <v>6</v>
      </c>
      <c r="U62" s="45">
        <v>7</v>
      </c>
      <c r="V62" s="46">
        <f>+IFERROR((T62/U62)*($P$62),0)</f>
        <v>0.21428571428571427</v>
      </c>
      <c r="W62" s="42">
        <v>0</v>
      </c>
      <c r="X62" s="45">
        <v>4</v>
      </c>
      <c r="Y62" s="46">
        <f>+IFERROR((W62/X62)*($P$62),0)</f>
        <v>0</v>
      </c>
      <c r="Z62" s="42"/>
      <c r="AA62" s="45"/>
      <c r="AB62" s="46">
        <f>+IFERROR((Z62/AA62)*($P$62),0)</f>
        <v>0</v>
      </c>
      <c r="AC62" s="42"/>
      <c r="AD62" s="45"/>
      <c r="AE62" s="46">
        <f>+IFERROR((AC62/AD62)*($P$62),0)</f>
        <v>0</v>
      </c>
      <c r="AF62" s="60">
        <f>+V62+Y62+AB62+AE62</f>
        <v>0.21428571428571427</v>
      </c>
      <c r="AG62" s="156"/>
      <c r="AH62" s="46" t="s">
        <v>540</v>
      </c>
      <c r="AI62" s="61" t="s">
        <v>540</v>
      </c>
      <c r="AJ62" s="65" t="s">
        <v>560</v>
      </c>
      <c r="AK62" s="67" t="s">
        <v>561</v>
      </c>
      <c r="AL62" s="148" t="s">
        <v>649</v>
      </c>
      <c r="AM62" s="53" t="s">
        <v>678</v>
      </c>
      <c r="AN62" s="52"/>
      <c r="AO62" s="52"/>
      <c r="AP62" s="52"/>
      <c r="AQ62" s="52"/>
      <c r="AR62" s="69"/>
    </row>
    <row r="63" spans="1:44" s="73" customFormat="1" ht="86.25" customHeight="1" x14ac:dyDescent="0.2">
      <c r="A63" s="39">
        <v>53</v>
      </c>
      <c r="B63" s="40" t="s">
        <v>562</v>
      </c>
      <c r="C63" s="40" t="s">
        <v>58</v>
      </c>
      <c r="D63" s="41" t="s">
        <v>529</v>
      </c>
      <c r="E63" s="40" t="s">
        <v>530</v>
      </c>
      <c r="F63" s="40" t="s">
        <v>531</v>
      </c>
      <c r="G63" s="40" t="s">
        <v>563</v>
      </c>
      <c r="H63" s="40" t="s">
        <v>564</v>
      </c>
      <c r="I63" s="40" t="s">
        <v>565</v>
      </c>
      <c r="J63" s="40" t="s">
        <v>566</v>
      </c>
      <c r="K63" s="40" t="s">
        <v>66</v>
      </c>
      <c r="L63" s="40" t="s">
        <v>536</v>
      </c>
      <c r="M63" s="40" t="s">
        <v>71</v>
      </c>
      <c r="N63" s="40" t="s">
        <v>567</v>
      </c>
      <c r="O63" s="74" t="s">
        <v>568</v>
      </c>
      <c r="P63" s="43">
        <v>0.25</v>
      </c>
      <c r="Q63" s="40" t="s">
        <v>559</v>
      </c>
      <c r="R63" s="44">
        <v>45292</v>
      </c>
      <c r="S63" s="44">
        <v>45657</v>
      </c>
      <c r="T63" s="42">
        <v>0</v>
      </c>
      <c r="U63" s="45">
        <v>1</v>
      </c>
      <c r="V63" s="46">
        <f>+IFERROR((T63/U63)*($P$63),0)</f>
        <v>0</v>
      </c>
      <c r="W63" s="42">
        <v>0</v>
      </c>
      <c r="X63" s="45">
        <v>1</v>
      </c>
      <c r="Y63" s="46">
        <f>+IFERROR((W63/X63)*($P$63),0)</f>
        <v>0</v>
      </c>
      <c r="Z63" s="42"/>
      <c r="AA63" s="45"/>
      <c r="AB63" s="46">
        <f>+IFERROR((Z63/AA63)*($P$63),0)</f>
        <v>0</v>
      </c>
      <c r="AC63" s="42"/>
      <c r="AD63" s="45"/>
      <c r="AE63" s="46">
        <f>+IFERROR((AC63/AD63)*($P$63),0)</f>
        <v>0</v>
      </c>
      <c r="AF63" s="60">
        <f>+V63+Y63+AB63+AE63</f>
        <v>0</v>
      </c>
      <c r="AG63" s="156"/>
      <c r="AH63" s="46" t="s">
        <v>540</v>
      </c>
      <c r="AI63" s="61" t="s">
        <v>540</v>
      </c>
      <c r="AJ63" s="65" t="s">
        <v>569</v>
      </c>
      <c r="AK63" s="67" t="s">
        <v>570</v>
      </c>
      <c r="AL63" s="148" t="s">
        <v>650</v>
      </c>
      <c r="AM63" s="53" t="s">
        <v>680</v>
      </c>
      <c r="AN63" s="52"/>
      <c r="AO63" s="52"/>
      <c r="AP63" s="52"/>
      <c r="AQ63" s="52"/>
      <c r="AR63" s="69"/>
    </row>
    <row r="64" spans="1:44" s="55" customFormat="1" ht="144" customHeight="1" thickBot="1" x14ac:dyDescent="0.25">
      <c r="A64" s="39">
        <v>54</v>
      </c>
      <c r="B64" s="40" t="s">
        <v>528</v>
      </c>
      <c r="C64" s="40" t="s">
        <v>58</v>
      </c>
      <c r="D64" s="41" t="s">
        <v>529</v>
      </c>
      <c r="E64" s="40" t="s">
        <v>530</v>
      </c>
      <c r="F64" s="40" t="s">
        <v>531</v>
      </c>
      <c r="G64" s="40" t="s">
        <v>571</v>
      </c>
      <c r="H64" s="40" t="s">
        <v>572</v>
      </c>
      <c r="I64" s="40" t="s">
        <v>573</v>
      </c>
      <c r="J64" s="40" t="s">
        <v>574</v>
      </c>
      <c r="K64" s="40" t="s">
        <v>80</v>
      </c>
      <c r="L64" s="40" t="s">
        <v>536</v>
      </c>
      <c r="M64" s="40">
        <v>4</v>
      </c>
      <c r="N64" s="40" t="s">
        <v>575</v>
      </c>
      <c r="O64" s="42">
        <v>4</v>
      </c>
      <c r="P64" s="43">
        <v>0.25</v>
      </c>
      <c r="Q64" s="40" t="s">
        <v>559</v>
      </c>
      <c r="R64" s="44">
        <v>45292</v>
      </c>
      <c r="S64" s="44">
        <v>45657</v>
      </c>
      <c r="T64" s="42">
        <v>1</v>
      </c>
      <c r="U64" s="45">
        <v>1</v>
      </c>
      <c r="V64" s="46">
        <f>+IFERROR((T64/U64)*$P$64,0)</f>
        <v>0.25</v>
      </c>
      <c r="W64" s="42">
        <v>0</v>
      </c>
      <c r="X64" s="45">
        <v>1</v>
      </c>
      <c r="Y64" s="46">
        <f>+IFERROR((W64/X64)*$P$64,0)</f>
        <v>0</v>
      </c>
      <c r="Z64" s="42"/>
      <c r="AA64" s="45">
        <v>1</v>
      </c>
      <c r="AB64" s="46">
        <f>+IFERROR((Z64/AA64)*$P$64,0)</f>
        <v>0</v>
      </c>
      <c r="AC64" s="42"/>
      <c r="AD64" s="45">
        <v>1</v>
      </c>
      <c r="AE64" s="46">
        <f>+IFERROR((AC64/AD64)*$P$64,0)</f>
        <v>0</v>
      </c>
      <c r="AF64" s="60">
        <f>+V64+Y64+AB64+AE64</f>
        <v>0.25</v>
      </c>
      <c r="AG64" s="156"/>
      <c r="AH64" s="46" t="s">
        <v>540</v>
      </c>
      <c r="AI64" s="61" t="s">
        <v>540</v>
      </c>
      <c r="AJ64" s="65" t="s">
        <v>576</v>
      </c>
      <c r="AK64" s="67" t="s">
        <v>577</v>
      </c>
      <c r="AL64" s="148" t="s">
        <v>651</v>
      </c>
      <c r="AM64" s="53" t="s">
        <v>679</v>
      </c>
      <c r="AN64" s="52"/>
      <c r="AO64" s="52"/>
      <c r="AP64" s="52"/>
      <c r="AQ64" s="52"/>
      <c r="AR64" s="54"/>
    </row>
    <row r="65" spans="1:44" s="73" customFormat="1" ht="96.75" customHeight="1" thickBot="1" x14ac:dyDescent="0.25">
      <c r="A65" s="39">
        <v>55</v>
      </c>
      <c r="B65" s="40" t="s">
        <v>528</v>
      </c>
      <c r="C65" s="40" t="s">
        <v>58</v>
      </c>
      <c r="D65" s="41" t="s">
        <v>529</v>
      </c>
      <c r="E65" s="40" t="s">
        <v>530</v>
      </c>
      <c r="F65" s="40" t="s">
        <v>531</v>
      </c>
      <c r="G65" s="40" t="s">
        <v>578</v>
      </c>
      <c r="H65" s="40" t="s">
        <v>579</v>
      </c>
      <c r="I65" s="40" t="s">
        <v>580</v>
      </c>
      <c r="J65" s="40" t="s">
        <v>581</v>
      </c>
      <c r="K65" s="40" t="s">
        <v>80</v>
      </c>
      <c r="L65" s="40" t="s">
        <v>536</v>
      </c>
      <c r="M65" s="40" t="s">
        <v>582</v>
      </c>
      <c r="N65" s="40" t="s">
        <v>583</v>
      </c>
      <c r="O65" s="64">
        <v>1</v>
      </c>
      <c r="P65" s="43">
        <v>0.25</v>
      </c>
      <c r="Q65" s="40" t="s">
        <v>82</v>
      </c>
      <c r="R65" s="44">
        <v>45292</v>
      </c>
      <c r="S65" s="44">
        <v>45657</v>
      </c>
      <c r="T65" s="42">
        <v>1</v>
      </c>
      <c r="U65" s="45">
        <v>3</v>
      </c>
      <c r="V65" s="46">
        <f>+IFERROR((T65/U65)*$P$65,0)</f>
        <v>8.3333333333333329E-2</v>
      </c>
      <c r="W65" s="42">
        <v>2</v>
      </c>
      <c r="X65" s="45">
        <v>3</v>
      </c>
      <c r="Y65" s="46">
        <f>+IFERROR((W65/X65)*$P$65,0)</f>
        <v>0.16666666666666666</v>
      </c>
      <c r="Z65" s="42"/>
      <c r="AA65" s="45">
        <v>3</v>
      </c>
      <c r="AB65" s="46">
        <f>+IFERROR((Z65/AA65)*$P$65,0)</f>
        <v>0</v>
      </c>
      <c r="AC65" s="42"/>
      <c r="AD65" s="45">
        <v>3</v>
      </c>
      <c r="AE65" s="46">
        <f>+IFERROR((AC65/AD65)*$P$65,0)</f>
        <v>0</v>
      </c>
      <c r="AF65" s="60">
        <f>+V65+Y65+AB65+AE65</f>
        <v>0.25</v>
      </c>
      <c r="AG65" s="156"/>
      <c r="AH65" s="46" t="s">
        <v>540</v>
      </c>
      <c r="AI65" s="46" t="s">
        <v>540</v>
      </c>
      <c r="AJ65" s="149" t="s">
        <v>584</v>
      </c>
      <c r="AK65" s="150" t="s">
        <v>654</v>
      </c>
      <c r="AL65" s="148" t="s">
        <v>652</v>
      </c>
      <c r="AM65" s="53" t="s">
        <v>655</v>
      </c>
      <c r="AN65" s="52"/>
      <c r="AO65" s="52"/>
      <c r="AP65" s="52"/>
      <c r="AQ65" s="52"/>
      <c r="AR65" s="69"/>
    </row>
    <row r="66" spans="1:44" ht="15" customHeight="1" x14ac:dyDescent="0.25">
      <c r="AG66" s="89"/>
    </row>
    <row r="67" spans="1:44" ht="15" hidden="1" customHeight="1" x14ac:dyDescent="0.25">
      <c r="AQ67" s="6" t="s">
        <v>585</v>
      </c>
    </row>
    <row r="68" spans="1:44" ht="15" customHeight="1" x14ac:dyDescent="0.25"/>
    <row r="69" spans="1:44" ht="15" customHeight="1" x14ac:dyDescent="0.25"/>
    <row r="70" spans="1:44" ht="15" customHeight="1" x14ac:dyDescent="0.25"/>
    <row r="71" spans="1:44" ht="15" customHeight="1" x14ac:dyDescent="0.25"/>
  </sheetData>
  <mergeCells count="30">
    <mergeCell ref="A2:A7"/>
    <mergeCell ref="B2:E4"/>
    <mergeCell ref="F2:AP3"/>
    <mergeCell ref="F4:AP4"/>
    <mergeCell ref="D6:P6"/>
    <mergeCell ref="R6:AI6"/>
    <mergeCell ref="AJ6:AQ6"/>
    <mergeCell ref="D7:P7"/>
    <mergeCell ref="R7:AI7"/>
    <mergeCell ref="AJ7:AQ7"/>
    <mergeCell ref="A9:G9"/>
    <mergeCell ref="H9:N9"/>
    <mergeCell ref="O9:P9"/>
    <mergeCell ref="Q9:S9"/>
    <mergeCell ref="T9:V9"/>
    <mergeCell ref="W9:Y9"/>
    <mergeCell ref="Z9:AB9"/>
    <mergeCell ref="AC9:AE9"/>
    <mergeCell ref="AF9:AQ9"/>
    <mergeCell ref="AG11:AG14"/>
    <mergeCell ref="AG15:AG18"/>
    <mergeCell ref="AG19:AG21"/>
    <mergeCell ref="AG22:AG26"/>
    <mergeCell ref="AG29:AG31"/>
    <mergeCell ref="AG32:AG36"/>
    <mergeCell ref="AG37:AG42"/>
    <mergeCell ref="AG43:AG50"/>
    <mergeCell ref="AG51:AG56"/>
    <mergeCell ref="AG60:AG65"/>
    <mergeCell ref="AG57:AG59"/>
  </mergeCells>
  <dataValidations count="1">
    <dataValidation type="list" allowBlank="1" showErrorMessage="1" sqref="L15:L28 L31:L36 L43 L57:L65" xr:uid="{00000000-0002-0000-0000-000000000000}">
      <formula1>#REF!</formula1>
      <formula2>0</formula2>
    </dataValidation>
  </dataValidations>
  <pageMargins left="0.70833333333333304" right="0.70833333333333304" top="0.74791666666666701" bottom="0.74791666666666701" header="0.511811023622047" footer="0.511811023622047"/>
  <pageSetup paperSize="9" orientation="landscape" horizontalDpi="300" verticalDpi="300"/>
  <ignoredErrors>
    <ignoredError sqref="AF40" formula="1"/>
    <ignoredError sqref="M49"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L10"/>
  <sheetViews>
    <sheetView zoomScale="90" zoomScaleNormal="90" workbookViewId="0">
      <selection activeCell="G6" sqref="G6"/>
    </sheetView>
  </sheetViews>
  <sheetFormatPr baseColWidth="10" defaultColWidth="10.85546875" defaultRowHeight="14.25" x14ac:dyDescent="0.2"/>
  <cols>
    <col min="1" max="1" width="10.85546875" style="90"/>
    <col min="2" max="2" width="62.85546875" style="90" customWidth="1"/>
    <col min="3" max="6" width="10.85546875" style="90"/>
    <col min="7" max="7" width="16.7109375" style="90" customWidth="1"/>
    <col min="8" max="8" width="6" style="90" customWidth="1"/>
    <col min="9" max="12" width="20.7109375" style="90" customWidth="1"/>
    <col min="13" max="16384" width="10.85546875" style="90"/>
  </cols>
  <sheetData>
    <row r="2" spans="2:12" ht="15" x14ac:dyDescent="0.25">
      <c r="B2" s="180" t="s">
        <v>628</v>
      </c>
      <c r="C2" s="180"/>
      <c r="D2" s="180"/>
      <c r="E2" s="180"/>
      <c r="F2" s="180"/>
      <c r="G2" s="180"/>
      <c r="I2" s="180" t="s">
        <v>606</v>
      </c>
      <c r="J2" s="180"/>
      <c r="K2" s="180"/>
      <c r="L2" s="180"/>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ht="38.25" x14ac:dyDescent="0.2">
      <c r="B4" s="128" t="str">
        <f>+'Plan de acción 2024'!G37</f>
        <v>Seguimiento Plan Anual de mantenimiento de la infraetructura física  de la entidad y realizar el seguimiento de acuerdo al cronograma de actividades</v>
      </c>
      <c r="C4" s="131" t="str">
        <f>+'Plan de acción 2024'!V37</f>
        <v>N/A</v>
      </c>
      <c r="D4" s="129">
        <f>+'Plan de acción 2024'!Y37</f>
        <v>0.22222222222222221</v>
      </c>
      <c r="E4" s="129">
        <f>+'Plan de acción 2024'!AB37</f>
        <v>0</v>
      </c>
      <c r="F4" s="129">
        <f>+'Plan de acción 2024'!AE37</f>
        <v>0</v>
      </c>
      <c r="G4" s="131">
        <f t="shared" ref="G4:G9" si="0">SUMIF(C4:F4,"&gt;0",C4:F4)</f>
        <v>0.22222222222222221</v>
      </c>
      <c r="I4" s="119" t="str">
        <f>IF('Plan de acción 2024'!AK37="","",'Plan de acción 2024'!AK37)</f>
        <v/>
      </c>
      <c r="J4" s="119" t="str">
        <f>IF('Plan de acción 2024'!AM37="","",'Plan de acción 2024'!AM37)</f>
        <v xml:space="preserve">Según el cronograma del plan de mantenimiento,  incluía 3 actividades para el trimestre. El proceso completó satisfactoriamente 2 de ellas: el mantenimiento del tejado del cuarto piso y el lavado y desinfección de tanques, así como la recarga de extintores. Sin embargo, permanecen pendientes el lavado de ventanales y la pintura de la fachada, lo que resulta un cumplimiento del indicador del 66% para el trimestre. Se recomienda priorizar la ejecución de las actividades pendientes así como la asignación de recursos y personal para completar estas tareas antes del próximo período de evaluación. Además, se sugiere establecer un sistema de monitoreo  para asegurar que todas las actividades futuras se realicen según el cronograma establecido. </v>
      </c>
      <c r="K4" s="119" t="str">
        <f>IF('Plan de acción 2024'!AO37="","",'Plan de acción 2024'!AO37)</f>
        <v/>
      </c>
      <c r="L4" s="119" t="str">
        <f>IF('Plan de acción 2024'!AQ37="","",'Plan de acción 2024'!AQ37)</f>
        <v/>
      </c>
    </row>
    <row r="5" spans="2:12" ht="25.5" x14ac:dyDescent="0.2">
      <c r="B5" s="128" t="str">
        <f>+'Plan de acción 2024'!G38</f>
        <v>Informe semestral de seguimiento a la Inspección preoperativa del parque automotor de la Entidad</v>
      </c>
      <c r="C5" s="131" t="str">
        <f>+'Plan de acción 2024'!V38</f>
        <v>NA</v>
      </c>
      <c r="D5" s="129">
        <f>+'Plan de acción 2024'!Y38</f>
        <v>0.5</v>
      </c>
      <c r="E5" s="129" t="str">
        <f>+'Plan de acción 2024'!AB38</f>
        <v>NA</v>
      </c>
      <c r="F5" s="129">
        <f>+'Plan de acción 2024'!AE38</f>
        <v>0</v>
      </c>
      <c r="G5" s="131">
        <f t="shared" si="0"/>
        <v>0.5</v>
      </c>
      <c r="I5" s="119" t="str">
        <f>IF('Plan de acción 2024'!AK38="","",'Plan de acción 2024'!AK38)</f>
        <v>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v>
      </c>
      <c r="J5" s="119" t="str">
        <f>IF('Plan de acción 2024'!AM38="","",'Plan de acción 2024'!AM38)</f>
        <v>Se revisaron las evidencias aportadas por el proceso, donde se registraron mantenimientos preventivos respaldados por facturas emitidas por la empresa Comercializadora Nelmar, con los números NN-2-824 hasta NN-2-828. El indicador se considera cumplido a satisfacción. No obstante, se observó que, de los 6 vehículos del parque automotor de la CSC, solo se intervinieron 5. Se recomienda al proceso revisar el vehículo OFH-487 y proporcionar un informe sobre su estado actual para garantizar que todos los vehículos reciban el mantenimiento necesario.</v>
      </c>
      <c r="K5" s="119" t="str">
        <f>IF('Plan de acción 2024'!AO38="","",'Plan de acción 2024'!AO38)</f>
        <v/>
      </c>
      <c r="L5" s="119" t="str">
        <f>IF('Plan de acción 2024'!AQ38="","",'Plan de acción 2024'!AQ38)</f>
        <v/>
      </c>
    </row>
    <row r="6" spans="2:12" ht="36" customHeight="1" x14ac:dyDescent="0.2">
      <c r="B6" s="128" t="str">
        <f>+'Plan de acción 2024'!G39</f>
        <v>Elaborar y hacer seguimiento al estudio de la necesidad de compra de elementos de consumo y papelería de la entidad</v>
      </c>
      <c r="C6" s="131">
        <f>+'Plan de acción 2024'!V39</f>
        <v>0.25</v>
      </c>
      <c r="D6" s="129">
        <f>+'Plan de acción 2024'!Y39</f>
        <v>0.25</v>
      </c>
      <c r="E6" s="129">
        <f>+'Plan de acción 2024'!AB39</f>
        <v>0</v>
      </c>
      <c r="F6" s="129">
        <f>+'Plan de acción 2024'!AE39</f>
        <v>0</v>
      </c>
      <c r="G6" s="131">
        <f t="shared" si="0"/>
        <v>0.5</v>
      </c>
      <c r="I6" s="119" t="str">
        <f>IF('Plan de acción 2024'!AK39="","",'Plan de acción 2024'!AK39)</f>
        <v>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v>
      </c>
      <c r="J6" s="119" t="str">
        <f>IF('Plan de acción 2024'!AM39="","",'Plan de acción 2024'!AM39)</f>
        <v xml:space="preserve">Se evidencia la recepcion del formato relacionado con el suministro de papeleria y elementos. Este indicador cumple con lo estipulado. Sin embargo  se reitera la recomendación de fomentar  la presentación de solicitudes por parte de todas las áreas de la entidad para obtener una visión completa de las necesidades de suministros. Así como mejorar su recepción y que estas sean firmadas por cada lider de proceso., </v>
      </c>
      <c r="K6" s="119" t="str">
        <f>IF('Plan de acción 2024'!AO39="","",'Plan de acción 2024'!AO39)</f>
        <v/>
      </c>
      <c r="L6" s="119" t="str">
        <f>IF('Plan de acción 2024'!AQ39="","",'Plan de acción 2024'!AQ39)</f>
        <v/>
      </c>
    </row>
    <row r="7" spans="2:12" ht="36" customHeight="1" x14ac:dyDescent="0.2">
      <c r="B7" s="128" t="str">
        <f>+'Plan de acción 2024'!G40</f>
        <v>Actualizar semestralmente los inventarios  individuales de los funcionarios de la Entidad, los cuales deben estar firmados por el funcionario responsable.</v>
      </c>
      <c r="C7" s="131" t="str">
        <f>+'Plan de acción 2024'!V40</f>
        <v>N/A</v>
      </c>
      <c r="D7" s="129">
        <f>+'Plan de acción 2024'!Y40</f>
        <v>0.5</v>
      </c>
      <c r="E7" s="129" t="str">
        <f>+'Plan de acción 2024'!AB40</f>
        <v>N/A</v>
      </c>
      <c r="F7" s="129">
        <f>+'Plan de acción 2024'!AE40</f>
        <v>0</v>
      </c>
      <c r="G7" s="131">
        <f t="shared" si="0"/>
        <v>0.5</v>
      </c>
      <c r="I7" s="119" t="str">
        <f>IF('Plan de acción 2024'!AK40="","",'Plan de acción 2024'!AK40)</f>
        <v>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v>
      </c>
      <c r="J7" s="119" t="str">
        <f>IF('Plan de acción 2024'!AM40="","",'Plan de acción 2024'!AM40)</f>
        <v>El proceso ha logrado un cumplimiento satisfactorio del indicador, evidenciando que los inventarios de los elementos han sido actualizados y firmados correctamente tanto por los funcionarios nuevos como por los antiguos. Esto garantiza una gestión eficiente y transparente de los recursos institucionales, contribuyendo al control y administración adecuados.</v>
      </c>
      <c r="K7" s="119" t="str">
        <f>IF('Plan de acción 2024'!AO40="","",'Plan de acción 2024'!AO40)</f>
        <v/>
      </c>
      <c r="L7" s="119" t="str">
        <f>IF('Plan de acción 2024'!AQ40="","",'Plan de acción 2024'!AQ40)</f>
        <v/>
      </c>
    </row>
    <row r="8" spans="2:12" ht="25.5" x14ac:dyDescent="0.2">
      <c r="B8" s="128" t="str">
        <f>+'Plan de acción 2024'!G41</f>
        <v xml:space="preserve">Verificar los elementos de consumo y devolutivos de acuerdo al reporte generado por Novasoft frente al fisico. </v>
      </c>
      <c r="C8" s="131">
        <f>+'Plan de acción 2024'!V41</f>
        <v>0.25</v>
      </c>
      <c r="D8" s="129">
        <f>+'Plan de acción 2024'!Y41</f>
        <v>0.25</v>
      </c>
      <c r="E8" s="129">
        <f>+'Plan de acción 2024'!AB41</f>
        <v>0</v>
      </c>
      <c r="F8" s="129">
        <f>+'Plan de acción 2024'!AE41</f>
        <v>0</v>
      </c>
      <c r="G8" s="131">
        <f t="shared" si="0"/>
        <v>0.5</v>
      </c>
      <c r="I8" s="119" t="str">
        <f>IF('Plan de acción 2024'!AK41="","",'Plan de acción 2024'!AK41)</f>
        <v>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v>
      </c>
      <c r="J8" s="119" t="str">
        <f>IF('Plan de acción 2024'!AM41="","",'Plan de acción 2024'!AM41)</f>
        <v>El indicador correspondiente a este trimestre ha sido cumplido satisfactoriamente. El seguimiento realizado muestra que todas las entradas y salidas fueron registradas de manera correcta, incluyendo detalles como la descripción del elemento, cantidad, valor y la fecha de retiro del almacén.</v>
      </c>
      <c r="K8" s="119" t="str">
        <f>IF('Plan de acción 2024'!AO41="","",'Plan de acción 2024'!AO41)</f>
        <v/>
      </c>
      <c r="L8" s="119" t="str">
        <f>IF('Plan de acción 2024'!AQ41="","",'Plan de acción 2024'!AQ41)</f>
        <v/>
      </c>
    </row>
    <row r="9" spans="2:12" ht="27" customHeight="1" x14ac:dyDescent="0.2">
      <c r="B9" s="128" t="str">
        <f>+'Plan de acción 2024'!G42</f>
        <v>Elaborar y/o actualizar el Plan institucional de Gestión Ambiental y publicarlo en la página web de la Entidad</v>
      </c>
      <c r="C9" s="131">
        <f>+'Plan de acción 2024'!V42</f>
        <v>0</v>
      </c>
      <c r="D9" s="129">
        <f>+'Plan de acción 2024'!Y42</f>
        <v>4.5454545454545456E-2</v>
      </c>
      <c r="E9" s="129">
        <f>+'Plan de acción 2024'!AB42</f>
        <v>0</v>
      </c>
      <c r="F9" s="129">
        <f>+'Plan de acción 2024'!AE42</f>
        <v>0</v>
      </c>
      <c r="G9" s="131">
        <f t="shared" si="0"/>
        <v>4.5454545454545456E-2</v>
      </c>
      <c r="I9" s="121" t="str">
        <f>IF('Plan de acción 2024'!AK42="","",'Plan de acción 2024'!AK42)</f>
        <v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v>
      </c>
      <c r="J9" s="121" t="str">
        <f>IF('Plan de acción 2024'!AM42="","",'Plan de acción 2024'!AM42)</f>
        <v>De acuerdo con el cronograma de actividades implementado en el Plan Institucional de Gestión Ambiental (PIGA), se debían realizar 11 actividades durante el trimestre. Sin embargo, solo se ejecutó una actividad, relacionada con el ahorro del agua.  Revisar el Plan para identificar las causas del incumplimiento y ajustar el cronograma y las actividades según sea necesario. así como establecer medidas para garantizar la ejecución de todas las actividades planificadas. Esto puede incluir la asignación de recursos adecuados y la designación de responsables específicos para cada actividad.</v>
      </c>
      <c r="K9" s="121" t="str">
        <f>IF('Plan de acción 2024'!AO42="","",'Plan de acción 2024'!AO42)</f>
        <v/>
      </c>
      <c r="L9" s="121" t="str">
        <f>IF('Plan de acción 2024'!AQ42="","",'Plan de acción 2024'!AQ42)</f>
        <v/>
      </c>
    </row>
    <row r="10" spans="2:12" ht="15" x14ac:dyDescent="0.2">
      <c r="B10" s="114" t="s">
        <v>617</v>
      </c>
      <c r="C10" s="108">
        <f>AVERAGE(C4:C9)</f>
        <v>0.16666666666666666</v>
      </c>
      <c r="D10" s="108">
        <f>AVERAGE(D4:D9)</f>
        <v>0.2946127946127946</v>
      </c>
      <c r="E10" s="108">
        <f>AVERAGE(E4:E9)</f>
        <v>0</v>
      </c>
      <c r="F10" s="108">
        <f>AVERAGE(F4:F9)</f>
        <v>0</v>
      </c>
      <c r="G10" s="108">
        <f>AVERAGE(G4:G9)</f>
        <v>0.37794612794612797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12"/>
  <sheetViews>
    <sheetView topLeftCell="C1" zoomScale="90" zoomScaleNormal="90" workbookViewId="0">
      <selection activeCell="I4" sqref="I4"/>
    </sheetView>
  </sheetViews>
  <sheetFormatPr baseColWidth="10" defaultColWidth="10.85546875" defaultRowHeight="14.25" x14ac:dyDescent="0.2"/>
  <cols>
    <col min="1" max="1" width="10.85546875" style="90"/>
    <col min="2" max="2" width="46.28515625" style="90" customWidth="1"/>
    <col min="3" max="6" width="10.85546875" style="90"/>
    <col min="7" max="7" width="15.42578125" style="90" customWidth="1"/>
    <col min="8" max="8" width="6" style="90" customWidth="1"/>
    <col min="9" max="12" width="20.7109375" style="90" customWidth="1"/>
    <col min="13" max="16384" width="10.85546875" style="90"/>
  </cols>
  <sheetData>
    <row r="2" spans="2:12" ht="15.75" x14ac:dyDescent="0.25">
      <c r="B2" s="181" t="s">
        <v>629</v>
      </c>
      <c r="C2" s="181"/>
      <c r="D2" s="181"/>
      <c r="E2" s="181"/>
      <c r="F2" s="181"/>
      <c r="G2" s="181"/>
      <c r="I2" s="181" t="s">
        <v>606</v>
      </c>
      <c r="J2" s="181"/>
      <c r="K2" s="181"/>
      <c r="L2" s="181"/>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ht="38.25" x14ac:dyDescent="0.2">
      <c r="B4" s="128" t="str">
        <f>+'Plan de acción 2024'!G43</f>
        <v xml:space="preserve">Elaborar, implementar y realizar seguimiento el Plan Institucional de Capacitación  (PIC) para los funcionarios de la CSC </v>
      </c>
      <c r="C4" s="129">
        <f>+'Plan de acción 2024'!V43</f>
        <v>0</v>
      </c>
      <c r="D4" s="129">
        <f>+'Plan de acción 2024'!Y43</f>
        <v>0.11764705882352941</v>
      </c>
      <c r="E4" s="129">
        <f>+'Plan de acción 2024'!AB43</f>
        <v>0</v>
      </c>
      <c r="F4" s="129">
        <f>+'Plan de acción 2024'!AE43</f>
        <v>0</v>
      </c>
      <c r="G4" s="129">
        <f t="shared" ref="G4:G11" si="0">SUMIF(C4:F4,"&gt;0",C4:F4)</f>
        <v>0.11764705882352941</v>
      </c>
      <c r="I4" s="119" t="str">
        <f>IF('Plan de acción 2024'!AK43="","",'Plan de acción 2024'!AK43)</f>
        <v>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v>
      </c>
      <c r="J4" s="119" t="str">
        <f>IF('Plan de acción 2024'!AM43="","",'Plan de acción 2024'!AM43)</f>
        <v>Se llevaron a cabo las 2 actividades programadas, cumpliendo con lo establecido en el plan de capacitación, lo que refleja un buen nivel de organización y ejecución dentro de los plazos establecidos. Sin embargo, la falta de participación del grupo directivo en la inducción de nuevos funcionarios y en la capacitación sobre Integridad, Transparencia y Lucha Contra la Corrupción requiere atención inmediata. La ausencia de los líderes puede generar una percepción de falta de compromiso con los valores éticos que la entidad busca promover. Es importante recordar al personal, especialmente a aquellos en cargos directivos, la relevancia de estas capacitaciones para fortalecer una cultura organizacional basada en principios de integridad y transparencia. Su participación es fundamental para liderar con el ejemplo.</v>
      </c>
      <c r="K4" s="119" t="str">
        <f>IF('Plan de acción 2024'!AO43="","",'Plan de acción 2024'!AO43)</f>
        <v/>
      </c>
      <c r="L4" s="119" t="str">
        <f>IF('Plan de acción 2024'!AQ43="","",'Plan de acción 2024'!AQ43)</f>
        <v/>
      </c>
    </row>
    <row r="5" spans="2:12" ht="63.75" x14ac:dyDescent="0.2">
      <c r="B5" s="128" t="str">
        <f>+'Plan de acción 2024'!G44</f>
        <v>Elaborar y realizar el seguimiento al Plan de Bienestar e incentivos de la CSC ajustado a los lineamientos normativos, conceptuales y dimensiones estratégicas adoptadas como resultado del diagnóstico institucional.</v>
      </c>
      <c r="C5" s="129">
        <f>+'Plan de acción 2024'!V44</f>
        <v>0.13793103448275862</v>
      </c>
      <c r="D5" s="129">
        <f>+'Plan de acción 2024'!Y44</f>
        <v>0.31034482758620691</v>
      </c>
      <c r="E5" s="129">
        <f>+'Plan de acción 2024'!AB44</f>
        <v>0</v>
      </c>
      <c r="F5" s="129">
        <f>+'Plan de acción 2024'!AE44</f>
        <v>0</v>
      </c>
      <c r="G5" s="129">
        <f t="shared" si="0"/>
        <v>0.44827586206896552</v>
      </c>
      <c r="I5" s="119" t="str">
        <f>IF('Plan de acción 2024'!AK44="","",'Plan de acción 2024'!AK44)</f>
        <v>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v>
      </c>
      <c r="J5" s="119" t="str">
        <f>IF('Plan de acción 2024'!AM44="","",'Plan de acción 2024'!AM44)</f>
        <v>La realización completa de las 9 actividades programadas indica un cumplimiento satisfactorio del indicador, reflejando una buena planificación y ejecución efectiva del plan de bienestar. Se sugiere mejorar los registros fotográficos de las actividades realizadas, incluyendo información adicional como la fecha de la imagen, una breve descripción de la actividad y su objetivo. Esto facilitará la revisión y el análisis de las actividades.</v>
      </c>
      <c r="K5" s="119" t="str">
        <f>IF('Plan de acción 2024'!AO44="","",'Plan de acción 2024'!AO44)</f>
        <v/>
      </c>
      <c r="L5" s="119" t="str">
        <f>IF('Plan de acción 2024'!AQ44="","",'Plan de acción 2024'!AQ44)</f>
        <v/>
      </c>
    </row>
    <row r="6" spans="2:12" ht="38.25" x14ac:dyDescent="0.2">
      <c r="B6" s="128" t="str">
        <f>+'Plan de acción 2024'!G45</f>
        <v>Ejecutar del Programa de Seguridad y Salud en el Trabajo en CSC de conformidad con las disposiciones normativas vigentes.</v>
      </c>
      <c r="C6" s="129">
        <f>+'Plan de acción 2024'!V45</f>
        <v>0.14705882352941177</v>
      </c>
      <c r="D6" s="129">
        <f>+'Plan de acción 2024'!Y45</f>
        <v>0.23823529411764707</v>
      </c>
      <c r="E6" s="129">
        <f>+'Plan de acción 2024'!AB45</f>
        <v>0</v>
      </c>
      <c r="F6" s="129">
        <f>+'Plan de acción 2024'!AE45</f>
        <v>0</v>
      </c>
      <c r="G6" s="129">
        <f t="shared" si="0"/>
        <v>0.38529411764705884</v>
      </c>
      <c r="I6" s="119" t="str">
        <f>IF('Plan de acción 2024'!AK45="","",'Plan de acción 2024'!AK45)</f>
        <v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v>
      </c>
      <c r="J6" s="119" t="str">
        <f>IF('Plan de acción 2024'!AM45="","",'Plan de acción 2024'!AM45)</f>
        <v>Durante el segundo trimestre, se planificaron 10 actividades dentro del plan de sst, de las cuales se completaron 9, logrando un cumplimiento del 90% del indicador. Aunque se logró un alto nivel de ejecución, queda pendiente la actualización de la matriz de peligros. La ejecución de esta actividad permitirá alcanzar el 100% de cumplimiento y mejorará la gestión de riesgos y la seguridad de nuestros funcionarios. Además, se recomienda mejorar la documentación de las capacitaciones realizadas, especialmente las virtuales, aportando listas de asistencia y/o certificados de participación para fortalecer las evidencias y asegurar la validez de estas actividades.</v>
      </c>
      <c r="K6" s="119" t="str">
        <f>IF('Plan de acción 2024'!AO45="","",'Plan de acción 2024'!AO45)</f>
        <v/>
      </c>
      <c r="L6" s="119" t="str">
        <f>IF('Plan de acción 2024'!AQ45="","",'Plan de acción 2024'!AQ45)</f>
        <v/>
      </c>
    </row>
    <row r="7" spans="2:12" ht="25.5" x14ac:dyDescent="0.2">
      <c r="B7" s="128" t="str">
        <f>+'Plan de acción 2024'!G46</f>
        <v>Seguimiento al cumplimiento del cronograma de liquidación de nómina de funcionarios</v>
      </c>
      <c r="C7" s="129">
        <f>+'Plan de acción 2024'!V46</f>
        <v>0.25</v>
      </c>
      <c r="D7" s="129">
        <f>+'Plan de acción 2024'!Y46</f>
        <v>0.25</v>
      </c>
      <c r="E7" s="129">
        <f>+'Plan de acción 2024'!AB46</f>
        <v>0</v>
      </c>
      <c r="F7" s="129">
        <f>+'Plan de acción 2024'!AE46</f>
        <v>0</v>
      </c>
      <c r="G7" s="129">
        <f t="shared" si="0"/>
        <v>0.5</v>
      </c>
      <c r="I7" s="119" t="str">
        <f>IF('Plan de acción 2024'!AK46="","",'Plan de acción 2024'!AK46)</f>
        <v>El seguimiento a la nómina durante el primer trimestre de 2024 se realizó según lo planificado, cumpliendo con las fechas establecidas. No se presentaron solicitudes que afentaran el pago de acuerdo a lo programado.</v>
      </c>
      <c r="J7" s="119" t="str">
        <f>IF('Plan de acción 2024'!AM46="","",'Plan de acción 2024'!AM46)</f>
        <v>El seguimiento a la nómina durante el segundo trimestre de 2024 ha sido eficaz y sin problemas, cumpliendo satisfactoriamente con el indicador. Para mantener este nivel de cumplimiento, es importante continuar con la planificación rigurosa y estar preparados para manejar cualquier incidencia futura de manera proactiva</v>
      </c>
      <c r="K7" s="119" t="str">
        <f>IF('Plan de acción 2024'!AO46="","",'Plan de acción 2024'!AO46)</f>
        <v/>
      </c>
      <c r="L7" s="119" t="str">
        <f>IF('Plan de acción 2024'!AQ46="","",'Plan de acción 2024'!AQ46)</f>
        <v/>
      </c>
    </row>
    <row r="8" spans="2:12" ht="25.5" x14ac:dyDescent="0.2">
      <c r="B8" s="128" t="str">
        <f>+'Plan de acción 2024'!G47</f>
        <v>Realizar trámite de recobro de incapacidades ante las EPSs</v>
      </c>
      <c r="C8" s="129">
        <f>+'Plan de acción 2024'!V47</f>
        <v>0.25</v>
      </c>
      <c r="D8" s="129">
        <f>+'Plan de acción 2024'!Y47</f>
        <v>0.25</v>
      </c>
      <c r="E8" s="129">
        <f>+'Plan de acción 2024'!AB47</f>
        <v>0</v>
      </c>
      <c r="F8" s="129">
        <f>+'Plan de acción 2024'!AE47</f>
        <v>0</v>
      </c>
      <c r="G8" s="129">
        <f t="shared" si="0"/>
        <v>0.5</v>
      </c>
      <c r="I8" s="119" t="str">
        <f>IF('Plan de acción 2024'!AK47="","",'Plan de acción 2024'!AK47)</f>
        <v>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v>
      </c>
      <c r="J8" s="119" t="str">
        <f>IF('Plan de acción 2024'!AM47="","",'Plan de acción 2024'!AM47)</f>
        <v>El reporte sobre las incapacidades recibidas durante el trimestre muestra un cumplimiento adecuado en la radicación ante la ARL y EPS, aunque se registró un retraso en el pago de tres de ellas. Si bien el proceso cumple con la radicación de las incapacidades, es necesario mejorar el seguimiento para garantizar que los pagos se realicen de manera oportuna. Se recomienda implementar un sistema de control y seguimiento más riguroso, junto con una comunicación proactiva con las entidades responsables, lo que contribuirá a optimizar la gestión y asegurar la recepción de los recursos.</v>
      </c>
      <c r="K8" s="119" t="str">
        <f>IF('Plan de acción 2024'!AO47="","",'Plan de acción 2024'!AO47)</f>
        <v/>
      </c>
      <c r="L8" s="119" t="str">
        <f>IF('Plan de acción 2024'!AQ47="","",'Plan de acción 2024'!AQ47)</f>
        <v/>
      </c>
    </row>
    <row r="9" spans="2:12" ht="25.5" x14ac:dyDescent="0.2">
      <c r="B9" s="128" t="str">
        <f>+'Plan de acción 2024'!G48</f>
        <v>Realizar las evaluaciones de desempeño y de rendimiento laboral de la CSC</v>
      </c>
      <c r="C9" s="129" t="str">
        <f>+'Plan de acción 2024'!V48</f>
        <v>N/A</v>
      </c>
      <c r="D9" s="129">
        <f>+'Plan de acción 2024'!Y48</f>
        <v>0</v>
      </c>
      <c r="E9" s="129">
        <f>+'Plan de acción 2024'!AB48</f>
        <v>0</v>
      </c>
      <c r="F9" s="129" t="str">
        <f>+'Plan de acción 2024'!AE48</f>
        <v>N/A</v>
      </c>
      <c r="G9" s="129">
        <f t="shared" si="0"/>
        <v>0</v>
      </c>
      <c r="I9" s="119" t="str">
        <f>IF('Plan de acción 2024'!AK48="","",'Plan de acción 2024'!AK48)</f>
        <v>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v>
      </c>
      <c r="J9" s="119" t="str">
        <f>IF('Plan de acción 2024'!AM48="","",'Plan de acción 2024'!AM48)</f>
        <v>La falta de evidencias de seguimiento a las evaluaciones de desempeño es la principal causa del incumplimiento del indicador. A pesar de las solicitudes realizadas al encargado para que subiera las evidencias, estas no fueron gestionadas. Es necesario reforzar el proceso de seguimiento y asegurar que se cumplan los plazos establecidos para la presentación de evidencias, a fin de evitar futuros incumplimientos.</v>
      </c>
      <c r="K9" s="119" t="str">
        <f>IF('Plan de acción 2024'!AO48="","",'Plan de acción 2024'!AO48)</f>
        <v/>
      </c>
      <c r="L9" s="119" t="str">
        <f>IF('Plan de acción 2024'!AQ48="","",'Plan de acción 2024'!AQ48)</f>
        <v/>
      </c>
    </row>
    <row r="10" spans="2:12" ht="38.25" x14ac:dyDescent="0.2">
      <c r="B10" s="128" t="str">
        <f>+'Plan de acción 2024'!G49</f>
        <v>Realizar seguimiento al autodiagnóstico de Talento Humano fortaleciendo las rutas con menor calificación</v>
      </c>
      <c r="C10" s="129" t="str">
        <f>+'Plan de acción 2024'!V49</f>
        <v>N/A</v>
      </c>
      <c r="D10" s="129" t="str">
        <f>+'Plan de acción 2024'!Y49</f>
        <v>N/A</v>
      </c>
      <c r="E10" s="129" t="str">
        <f>+'Plan de acción 2024'!AB49</f>
        <v>N/A</v>
      </c>
      <c r="F10" s="129">
        <f>+'Plan de acción 2024'!AE49</f>
        <v>0</v>
      </c>
      <c r="G10" s="129">
        <f t="shared" si="0"/>
        <v>0</v>
      </c>
      <c r="I10" s="119" t="str">
        <f>IF('Plan de acción 2024'!AK49="","",'Plan de acción 2024'!AK49)</f>
        <v>Para este trimestre el indicador no tenía nada programado, sin embargo, se evidencia que los puntajes obtenidos en la Ruta del Servicio y la Ruta de la Felicidad indican que hay oportunidades significativas para mejorar en estas áreas.</v>
      </c>
      <c r="J10" s="119" t="str">
        <f>IF('Plan de acción 2024'!AM49="","",'Plan de acción 2024'!AM49)</f>
        <v>Durante este trimestre, el indicador no tenía actividades programadas. Sin embargo, se recuerda al proceso la importancia de iniciar el diligenciamiento del autodiagnóstico, con el fin de evitar posibles incumplimientos en el próximo trimestre.</v>
      </c>
      <c r="K10" s="119" t="str">
        <f>IF('Plan de acción 2024'!AO49="","",'Plan de acción 2024'!AO49)</f>
        <v/>
      </c>
      <c r="L10" s="119" t="str">
        <f>IF('Plan de acción 2024'!AQ49="","",'Plan de acción 2024'!AQ49)</f>
        <v/>
      </c>
    </row>
    <row r="11" spans="2:12" ht="36" customHeight="1" x14ac:dyDescent="0.2">
      <c r="B11" s="128" t="str">
        <f>+'Plan de acción 2024'!G50</f>
        <v>Suscripción de los acuerdos de gestión y seguimiento a su cumplimiento</v>
      </c>
      <c r="C11" s="129">
        <f>+'Plan de acción 2024'!V50</f>
        <v>0.5</v>
      </c>
      <c r="D11" s="129" t="str">
        <f>+'Plan de acción 2024'!Y50</f>
        <v>N/A</v>
      </c>
      <c r="E11" s="129">
        <f>+'Plan de acción 2024'!AB50</f>
        <v>0</v>
      </c>
      <c r="F11" s="129" t="str">
        <f>+'Plan de acción 2024'!AE50</f>
        <v>N/A</v>
      </c>
      <c r="G11" s="129">
        <f t="shared" si="0"/>
        <v>0.5</v>
      </c>
      <c r="I11" s="121" t="str">
        <f>IF('Plan de acción 2024'!AK50="","",'Plan de acción 2024'!AK50)</f>
        <v>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v>
      </c>
      <c r="J11" s="121" t="str">
        <f>IF('Plan de acción 2024'!AM50="","",'Plan de acción 2024'!AM50)</f>
        <v>Este trimestre no se tienen actividades planificadas para este indicador. Sin embargo, se evidencia que se suscribieron acuerdos de gestión para las subgerencias, los directores técnicos, y los asesores de las oficinas jurídica, atención al cliente y contratación. Se recomienda comenzar con el seguimiento y la retroalimentación de los acuerdos correspondientes al primer semestre, así como proceder con su publicación en la página web institucional.</v>
      </c>
      <c r="K11" s="121" t="str">
        <f>IF('Plan de acción 2024'!AO50="","",'Plan de acción 2024'!AO50)</f>
        <v/>
      </c>
      <c r="L11" s="121" t="str">
        <f>IF('Plan de acción 2024'!AQ50="","",'Plan de acción 2024'!AQ50)</f>
        <v/>
      </c>
    </row>
    <row r="12" spans="2:12" ht="15" x14ac:dyDescent="0.2">
      <c r="B12" s="114" t="s">
        <v>617</v>
      </c>
      <c r="C12" s="108">
        <f>+AVERAGE(C4:C11)</f>
        <v>0.21416497633536172</v>
      </c>
      <c r="D12" s="108">
        <f>+AVERAGE(D4:D11)</f>
        <v>0.19437119675456391</v>
      </c>
      <c r="E12" s="108">
        <f>+AVERAGE(E4:E11)</f>
        <v>0</v>
      </c>
      <c r="F12" s="108">
        <f>+AVERAGE(F4:F11)</f>
        <v>0</v>
      </c>
      <c r="G12" s="108">
        <f>+AVERAGE(G4:G11)</f>
        <v>0.30640212981744419</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9"/>
  <sheetViews>
    <sheetView zoomScale="90" zoomScaleNormal="90" workbookViewId="0">
      <selection activeCell="I4" sqref="I4"/>
    </sheetView>
  </sheetViews>
  <sheetFormatPr baseColWidth="10" defaultColWidth="10.85546875" defaultRowHeight="14.25" x14ac:dyDescent="0.2"/>
  <cols>
    <col min="1" max="1" width="5.42578125" style="90" customWidth="1"/>
    <col min="2" max="2" width="48.42578125" style="90" customWidth="1"/>
    <col min="3" max="6" width="10.85546875" style="90"/>
    <col min="7" max="7" width="17.140625" style="90" customWidth="1"/>
    <col min="8" max="8" width="6" style="90" customWidth="1"/>
    <col min="9" max="12" width="20.7109375" style="90" customWidth="1"/>
    <col min="13" max="16384" width="10.85546875" style="90"/>
  </cols>
  <sheetData>
    <row r="2" spans="2:12" ht="15" x14ac:dyDescent="0.25">
      <c r="B2" s="180" t="s">
        <v>630</v>
      </c>
      <c r="C2" s="180"/>
      <c r="D2" s="180"/>
      <c r="E2" s="180"/>
      <c r="F2" s="180"/>
      <c r="G2" s="180"/>
      <c r="I2" s="180" t="s">
        <v>606</v>
      </c>
      <c r="J2" s="180"/>
      <c r="K2" s="180"/>
      <c r="L2" s="180"/>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ht="51.75" customHeight="1" x14ac:dyDescent="0.2">
      <c r="B4" s="130" t="str">
        <f>+'Plan de acción 2024'!G51</f>
        <v xml:space="preserve">Generar información financiera a la alta gerencia necesaria para la Administración del Presupuesto de manera eficiente. </v>
      </c>
      <c r="C4" s="129">
        <f>+'Plan de acción 2024'!V51</f>
        <v>0.18879364354420305</v>
      </c>
      <c r="D4" s="129">
        <f>+'Plan de acción 2024'!Y51</f>
        <v>0.20849651158397484</v>
      </c>
      <c r="E4" s="129">
        <f>+'Plan de acción 2024'!AB51</f>
        <v>0</v>
      </c>
      <c r="F4" s="129">
        <f>+'Plan de acción 2024'!AE51</f>
        <v>0</v>
      </c>
      <c r="G4" s="129">
        <f>SUMIF(C4:F4,"&gt;0",C4:F4)</f>
        <v>0.39729015512817789</v>
      </c>
      <c r="I4" s="119" t="str">
        <f>IF('Plan de acción 2024'!AK51="","",'Plan de acción 2024'!AK51)</f>
        <v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J4" s="119" t="str">
        <f>IF('Plan de acción 2024'!AM51="","",'Plan de acción 2024'!AM51)</f>
        <v xml:space="preserve">
El recaudo de ingresos durante el segundo trimestre de 2024 no cumplió con el tope programado en el PAC, logrando solo el 83.3%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K4" s="119" t="str">
        <f>IF('Plan de acción 2024'!AO51="","",'Plan de acción 2024'!AO51)</f>
        <v/>
      </c>
      <c r="L4" s="119" t="str">
        <f>IF('Plan de acción 2024'!AQ51="","",'Plan de acción 2024'!AQ51)</f>
        <v/>
      </c>
    </row>
    <row r="5" spans="2:12" ht="38.25" x14ac:dyDescent="0.2">
      <c r="B5" s="130" t="str">
        <f>+'Plan de acción 2024'!G52</f>
        <v xml:space="preserve">Generar información financiera a la alta gerencia necesaria para la Administración del Presupuesto de manera eficiente. </v>
      </c>
      <c r="C5" s="129">
        <f>+'Plan de acción 2024'!V52</f>
        <v>9.2082012259101231E-2</v>
      </c>
      <c r="D5" s="129">
        <f>+'Plan de acción 2024'!Y52</f>
        <v>0.10071076811300711</v>
      </c>
      <c r="E5" s="129">
        <f>+'Plan de acción 2024'!AB52</f>
        <v>0</v>
      </c>
      <c r="F5" s="129">
        <f>+'Plan de acción 2024'!AE52</f>
        <v>0</v>
      </c>
      <c r="G5" s="129">
        <f>SUMIF(C5:F5,"&gt;0",C5:F5)</f>
        <v>0.19279278037210834</v>
      </c>
      <c r="I5" s="119" t="str">
        <f>IF('Plan de acción 2024'!AK52="","",'Plan de acción 2024'!AK52)</f>
        <v>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v>
      </c>
      <c r="J5" s="119" t="str">
        <f>IF('Plan de acción 2024'!AM52="","",'Plan de acción 2024'!AM52)</f>
        <v>La ejecución de gastos durante el segundo trimestre de 2024 fue significativamente menor que lo programado en el PAC, alcanzando solo el 40.28% de la meta establecida. Se recomienda evaluar aquellos factores tanto internos y externos que puedan haber influido en esta situación, incluyendo retrasos en la contratación, ajustes presupuestarios, políticas de austeridad, colocación de créditos entre otros con el fin alcanzar las metas propuestas en cuanto a la ejecución de gastos.</v>
      </c>
      <c r="K5" s="119" t="str">
        <f>IF('Plan de acción 2024'!AO52="","",'Plan de acción 2024'!AO52)</f>
        <v/>
      </c>
      <c r="L5" s="119" t="str">
        <f>IF('Plan de acción 2024'!AQ52="","",'Plan de acción 2024'!AQ52)</f>
        <v/>
      </c>
    </row>
    <row r="6" spans="2:12" ht="51" x14ac:dyDescent="0.2">
      <c r="B6" s="130" t="str">
        <f>+'Plan de acción 2024'!G53</f>
        <v xml:space="preserve">Generar y reportar la Información financiera y presupuestal a los entes de control y de fiscalización de manera oportuna a través de las plataformas oficiales. </v>
      </c>
      <c r="C6" s="129">
        <f>+'Plan de acción 2024'!V53</f>
        <v>0.25</v>
      </c>
      <c r="D6" s="129">
        <f>+'Plan de acción 2024'!Y53</f>
        <v>0.25</v>
      </c>
      <c r="E6" s="129">
        <f>+'Plan de acción 2024'!AB53</f>
        <v>0</v>
      </c>
      <c r="F6" s="129">
        <f>+'Plan de acción 2024'!AE53</f>
        <v>0</v>
      </c>
      <c r="G6" s="129">
        <f>SUMIF(C6:F6,"&gt;0",C6:F6)</f>
        <v>0.5</v>
      </c>
      <c r="I6" s="119" t="str">
        <f>IF('Plan de acción 2024'!AK53="","",'Plan de acción 2024'!AK53)</f>
        <v>La remisión de informes a los entes de control durante el primer trimestre de 2024 se ha realizado de manera adecuada y oportuna, cumpliendo con los requisitos establecidos y asegurando la transparencia y responsabilidad en la gestión de la entidad.</v>
      </c>
      <c r="J6" s="119" t="str">
        <f>IF('Plan de acción 2024'!AM53="","",'Plan de acción 2024'!AM53)</f>
        <v>La remisión de informes a los entes de control durante el primer trimestre de 2024 se ha realizado de manera adecuada y oportuna, cumpliendo con los requisitos establecidos y asegurando la transparencia y responsabilidad en la gestión de la entidad.</v>
      </c>
      <c r="K6" s="119" t="str">
        <f>IF('Plan de acción 2024'!AO53="","",'Plan de acción 2024'!AO53)</f>
        <v/>
      </c>
      <c r="L6" s="119" t="str">
        <f>IF('Plan de acción 2024'!AQ53="","",'Plan de acción 2024'!AQ53)</f>
        <v/>
      </c>
    </row>
    <row r="7" spans="2:12" ht="41.25" customHeight="1" x14ac:dyDescent="0.2">
      <c r="B7" s="130" t="str">
        <f>+'Plan de acción 2024'!G55</f>
        <v xml:space="preserve">Registrar en el sistema los recaudos provenientes de las diferentes líneas de crédito con que cuenta la entidad, para garantizar el proceso de desgloce y conciliaciones </v>
      </c>
      <c r="C7" s="129">
        <f>+'Plan de acción 2024'!V55</f>
        <v>0.17758580210528918</v>
      </c>
      <c r="D7" s="129">
        <f>+'Plan de acción 2024'!Y55</f>
        <v>0.20118126475815037</v>
      </c>
      <c r="E7" s="129">
        <f>+'Plan de acción 2024'!AB55</f>
        <v>0</v>
      </c>
      <c r="F7" s="129">
        <f>+'Plan de acción 2024'!AE55</f>
        <v>0</v>
      </c>
      <c r="G7" s="129">
        <f>SUMIF(C7:F7,"&gt;0",C7:F7)</f>
        <v>0.37876706686343953</v>
      </c>
      <c r="I7" s="119" t="str">
        <f>IF('Plan de acción 2024'!AK54="","",'Plan de acción 2024'!AK54)</f>
        <v>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v>
      </c>
      <c r="J7" s="119" t="str">
        <f>IF('Plan de acción 2024'!AM54="","",'Plan de acción 2024'!AM54)</f>
        <v>El proceso ha logrado realizar las conciliaciones bancarias de las cuentas activas durante el trimestre, lo cual es un resultado positivo, ya que asegura que las cuentas de la entidad estén alineadas con los registros bancarios. Sin embargo, se han identificado ingresos que no han sido registrados en los libros contables, lo que puede generar discrepancias en los informes financieros y afectar la transparencia de la gestión. Además,se evidencia transacciones sin identificar, lo que podría dar lugar a confusiones y errores en el manejo de las cuentas. Se recomienda al proceso iniciar de manera prioritaria el registro de todos los ingresos no contabilizados para evitar que se acumulen más transacciones sin registrar en los libros contables.</v>
      </c>
      <c r="K7" s="119" t="str">
        <f>IF('Plan de acción 2024'!AO54="","",'Plan de acción 2024'!AO54)</f>
        <v/>
      </c>
      <c r="L7" s="119" t="str">
        <f>IF('Plan de acción 2024'!AQ54="","",'Plan de acción 2024'!AQ54)</f>
        <v/>
      </c>
    </row>
    <row r="8" spans="2:12" ht="41.25" customHeight="1" x14ac:dyDescent="0.2">
      <c r="B8" s="130" t="str">
        <f>+'Plan de acción 2024'!G56</f>
        <v xml:space="preserve">Registrar en el sistema los egresos correspondiente a las obligaciones contraidas por la entidad. </v>
      </c>
      <c r="C8" s="129">
        <f>+'Plan de acción 2024'!V56</f>
        <v>6.9858977059944607E-2</v>
      </c>
      <c r="D8" s="129">
        <f>+'Plan de acción 2024'!Y56</f>
        <v>9.5911144580214949E-2</v>
      </c>
      <c r="E8" s="129">
        <f>+'Plan de acción 2024'!AB56</f>
        <v>0</v>
      </c>
      <c r="F8" s="129">
        <f>+'Plan de acción 2024'!AE56</f>
        <v>0</v>
      </c>
      <c r="G8" s="129">
        <f>SUMIF(C8:F8,"&gt;0",C8:F8)</f>
        <v>0.16577012164015956</v>
      </c>
      <c r="I8" s="119" t="str">
        <f>IF('Plan de acción 2024'!AK55="","",'Plan de acción 2024'!AK55)</f>
        <v>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J8" s="119" t="str">
        <f>IF('Plan de acción 2024'!AM55="","",'Plan de acción 2024'!AM55)</f>
        <v>Se evidencia el registro de los ingresos reportados durante el segundo trimestre, alcanza el 20.12% de la meta, lo cual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K8" s="119" t="str">
        <f>IF('Plan de acción 2024'!AO55="","",'Plan de acción 2024'!AO55)</f>
        <v/>
      </c>
      <c r="L8" s="119" t="str">
        <f>IF('Plan de acción 2024'!AQ55="","",'Plan de acción 2024'!AQ55)</f>
        <v/>
      </c>
    </row>
    <row r="9" spans="2:12" ht="15" x14ac:dyDescent="0.2">
      <c r="B9" s="114" t="s">
        <v>617</v>
      </c>
      <c r="C9" s="108">
        <f>AVERAGE(C4:C7)</f>
        <v>0.17711536447714837</v>
      </c>
      <c r="D9" s="108">
        <f>AVERAGE(D4:D7)</f>
        <v>0.19009713611378307</v>
      </c>
      <c r="E9" s="108">
        <f>AVERAGE(E4:E7)</f>
        <v>0</v>
      </c>
      <c r="F9" s="108">
        <f>AVERAGE(F4:F7)</f>
        <v>0</v>
      </c>
      <c r="G9" s="108">
        <f>AVERAGE(G4:G7)</f>
        <v>0.36721250059093147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7"/>
  <sheetViews>
    <sheetView zoomScale="90" zoomScaleNormal="90" workbookViewId="0">
      <selection activeCell="F7" sqref="F7"/>
    </sheetView>
  </sheetViews>
  <sheetFormatPr baseColWidth="10" defaultColWidth="10.85546875" defaultRowHeight="14.25" x14ac:dyDescent="0.2"/>
  <cols>
    <col min="1" max="1" width="10.85546875" style="90"/>
    <col min="2" max="2" width="38.85546875" style="90" customWidth="1"/>
    <col min="3" max="6" width="10.85546875" style="90"/>
    <col min="7" max="7" width="17.42578125" style="90" customWidth="1"/>
    <col min="8" max="8" width="6" style="90" customWidth="1"/>
    <col min="9" max="12" width="20.7109375" style="90" customWidth="1"/>
    <col min="13" max="16384" width="10.85546875" style="90"/>
  </cols>
  <sheetData>
    <row r="2" spans="2:12" s="109" customFormat="1" ht="27.75" customHeight="1" x14ac:dyDescent="0.25">
      <c r="B2" s="182" t="s">
        <v>631</v>
      </c>
      <c r="C2" s="182"/>
      <c r="D2" s="182"/>
      <c r="E2" s="182"/>
      <c r="F2" s="182"/>
      <c r="G2" s="182"/>
      <c r="I2" s="182" t="s">
        <v>606</v>
      </c>
      <c r="J2" s="182"/>
      <c r="K2" s="182"/>
      <c r="L2" s="182"/>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ht="51" x14ac:dyDescent="0.2">
      <c r="B4" s="124" t="str">
        <f>+'Plan de acción 2024'!G57</f>
        <v xml:space="preserve">Impulsar la actividad procesal de las obligaciones que se  encuentren en cobro jurídico  entregadas a los abogados externos. </v>
      </c>
      <c r="C4" s="129">
        <f>+'Plan de acción 2024'!V57</f>
        <v>0.10366666666666667</v>
      </c>
      <c r="D4" s="129">
        <f>+'Plan de acción 2024'!Y57</f>
        <v>0.26666666666666666</v>
      </c>
      <c r="E4" s="129">
        <f>+'Plan de acción 2024'!AB57</f>
        <v>0</v>
      </c>
      <c r="F4" s="129">
        <f>+'Plan de acción 2024'!AE57</f>
        <v>0</v>
      </c>
      <c r="G4" s="129">
        <f>SUMIF(C4:F4,"&gt;0",C4:F4)</f>
        <v>0.37033333333333335</v>
      </c>
      <c r="I4" s="119" t="str">
        <f>IF('Plan de acción 2024'!AK57="","",'Plan de acción 2024'!AK57)</f>
        <v/>
      </c>
      <c r="J4" s="119" t="str">
        <f>IF('Plan de acción 2024'!AM57="","",'Plan de acción 2024'!AM57)</f>
        <v>El proceso ha cumplido con el objetivo del indicador, implementando mecanismos de control y seguimiento sobre los casos jurídicos de cobro y centralizando la información en una base de datos unificada. Esto ha facilitado el acceso a la información y asegura un seguimiento constante por parte de los abogados contratistas. Además, se mantiene una comunicación constante con la firma externa de abogados para gestionar los casos que requieren intervención. Se recomienda continuar con el monitoreo y la actualizaciónconstante de esta información para garantizar su eficacia y precisión.</v>
      </c>
      <c r="K4" s="119" t="str">
        <f>IF('Plan de acción 2024'!AO57="","",'Plan de acción 2024'!AO57)</f>
        <v/>
      </c>
      <c r="L4" s="119" t="str">
        <f>IF('Plan de acción 2024'!AQ57="","",'Plan de acción 2024'!AQ57)</f>
        <v/>
      </c>
    </row>
    <row r="5" spans="2:12" ht="38.25" x14ac:dyDescent="0.2">
      <c r="B5" s="124" t="str">
        <f>+'Plan de acción 2024'!G58</f>
        <v>Realizar seguimientos mensuales a la implementación de la Politica del Plan de Prevención del Daño Antijurídico.</v>
      </c>
      <c r="C5" s="129" t="str">
        <f>+'Plan de acción 2024'!V58</f>
        <v>NA</v>
      </c>
      <c r="D5" s="129">
        <f>+'Plan de acción 2024'!Y58</f>
        <v>0.5</v>
      </c>
      <c r="E5" s="129">
        <f>+'Plan de acción 2024'!AB58</f>
        <v>0</v>
      </c>
      <c r="F5" s="129" t="str">
        <f>+'Plan de acción 2024'!AE58</f>
        <v>NA</v>
      </c>
      <c r="G5" s="129">
        <f>SUMIF(C5:F5,"&gt;0",C5:F5)</f>
        <v>0.5</v>
      </c>
      <c r="I5" s="121" t="str">
        <f>IF('Plan de acción 2024'!AK58="","",'Plan de acción 2024'!AK58)</f>
        <v>El presente indicador será evaluado en el segundo trimestre.</v>
      </c>
      <c r="J5" s="121" t="str">
        <f>IF('Plan de acción 2024'!AM58="","",'Plan de acción 2024'!AM58)</f>
        <v>El proceso ha cumplido con el indicador al presentar el informe semestral sobre la gestión realizada por el Comité de Conciliación y Defensa Judicial. Sin embargo, se recomienda al proceso enviar las actas del comité para mantener actualizada la información en el Sistema de Gestión de Calidad. Esto es fundamental para asegurar la trazabilidad y el cumplimiento de los requisitos normativos. Además, es importante mantener un archivo organizado de las actas y otros documentos generados por el comité, que permita una consulta ágil y eficiente para auditorías o revisiones internas.</v>
      </c>
      <c r="K5" s="121" t="str">
        <f>IF('Plan de acción 2024'!AO58="","",'Plan de acción 2024'!AO58)</f>
        <v/>
      </c>
      <c r="L5" s="121" t="str">
        <f>IF('Plan de acción 2024'!AQ58="","",'Plan de acción 2024'!AQ58)</f>
        <v/>
      </c>
    </row>
    <row r="6" spans="2:12" ht="51" x14ac:dyDescent="0.2">
      <c r="B6" s="124" t="str">
        <f>+'Plan de acción 2024'!G59</f>
        <v>Marcar en Novasoft los casos recibidos por el Proceso de Cartera que superen los 91 días para  créditos de consumo y 151 a los créditos hipotecarios</v>
      </c>
      <c r="C6" s="129">
        <f>+'Plan de acción 2024'!V59</f>
        <v>0</v>
      </c>
      <c r="D6" s="129">
        <f>+'Plan de acción 2024'!Y59</f>
        <v>0.25</v>
      </c>
      <c r="E6" s="129">
        <f>+'Plan de acción 2024'!AB59</f>
        <v>0</v>
      </c>
      <c r="F6" s="129">
        <f>+'Plan de acción 2024'!AE59</f>
        <v>0</v>
      </c>
      <c r="G6" s="129">
        <f>SUMIF(C6:F6,"&gt;0",C6:F6)</f>
        <v>0.25</v>
      </c>
      <c r="I6" s="121" t="str">
        <f>IF('Plan de acción 2024'!AK59="","",'Plan de acción 2024'!AK59)</f>
        <v>El presente indicador será evaluado en el segundo trimestre.</v>
      </c>
      <c r="J6" s="121" t="str">
        <f>IF('Plan de acción 2024'!AM59="","",'Plan de acción 2024'!AM59)</f>
        <v>El proceso ha cumplido con el objetivo del indicador, gestionando un total de 252 solicitudes, de las cuales 190 corresponden a marcaciones en estado jurídico y 62 a acuerdos de pago. No obstante, es importante mejorar la calidad de la información documentada para garantizar una medición más precisa y un control efectivo del indicador. se recomienda implementar registros más detallados, como las fechas de marcación y recibido, así como las cantidades reportadas por otros procesos, permitirá tener una visión más completa y real del desempeño del área, facilitando tanto la toma de decisiones como la mejora continua del proceso.</v>
      </c>
      <c r="K6" s="121" t="str">
        <f>IF('Plan de acción 2024'!AO59="","",'Plan de acción 2024'!AO59)</f>
        <v/>
      </c>
      <c r="L6" s="121" t="str">
        <f>IF('Plan de acción 2024'!AQ59="","",'Plan de acción 2024'!AQ59)</f>
        <v/>
      </c>
    </row>
    <row r="7" spans="2:12" ht="15" x14ac:dyDescent="0.2">
      <c r="B7" s="114" t="s">
        <v>617</v>
      </c>
      <c r="C7" s="108">
        <f>AVERAGE(C4:C5)</f>
        <v>0.10366666666666667</v>
      </c>
      <c r="D7" s="108">
        <f>AVERAGE(D4:D6)</f>
        <v>0.33888888888888885</v>
      </c>
      <c r="E7" s="108">
        <f>AVERAGE(E4:E6)</f>
        <v>0</v>
      </c>
      <c r="F7" s="108">
        <f>AVERAGE(F4:F6)</f>
        <v>0</v>
      </c>
      <c r="G7" s="108">
        <f>AVERAGE(G4:G6)</f>
        <v>0.37344444444444447</v>
      </c>
    </row>
  </sheetData>
  <mergeCells count="2">
    <mergeCell ref="B2:G2"/>
    <mergeCell ref="I2:L2"/>
  </mergeCells>
  <pageMargins left="0.7" right="0.7" top="0.75" bottom="0.75" header="0.511811023622047" footer="0.511811023622047"/>
  <pageSetup paperSize="9" orientation="portrait" horizontalDpi="300" verticalDpi="300"/>
  <ignoredErrors>
    <ignoredError sqref="D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L10"/>
  <sheetViews>
    <sheetView zoomScale="90" zoomScaleNormal="90" workbookViewId="0">
      <selection activeCell="I5" sqref="I5"/>
    </sheetView>
  </sheetViews>
  <sheetFormatPr baseColWidth="10" defaultColWidth="10.85546875" defaultRowHeight="14.25" x14ac:dyDescent="0.2"/>
  <cols>
    <col min="1" max="1" width="10.85546875" style="90"/>
    <col min="2" max="2" width="40.140625" style="90" customWidth="1"/>
    <col min="3" max="6" width="10.85546875" style="90"/>
    <col min="7" max="7" width="23.42578125" style="90" customWidth="1"/>
    <col min="8" max="8" width="10.85546875" style="90"/>
    <col min="9" max="12" width="20.7109375" style="90" customWidth="1"/>
    <col min="13" max="16384" width="10.85546875" style="90"/>
  </cols>
  <sheetData>
    <row r="2" spans="2:12" ht="15" x14ac:dyDescent="0.25">
      <c r="B2" s="180" t="s">
        <v>632</v>
      </c>
      <c r="C2" s="180"/>
      <c r="D2" s="180"/>
      <c r="E2" s="180"/>
      <c r="F2" s="180"/>
      <c r="G2" s="180"/>
      <c r="I2" s="182" t="s">
        <v>606</v>
      </c>
      <c r="J2" s="182"/>
      <c r="K2" s="182"/>
      <c r="L2" s="182"/>
    </row>
    <row r="3" spans="2:12" ht="30" x14ac:dyDescent="0.2">
      <c r="B3" s="110" t="s">
        <v>607</v>
      </c>
      <c r="C3" s="110" t="s">
        <v>608</v>
      </c>
      <c r="D3" s="110" t="s">
        <v>609</v>
      </c>
      <c r="E3" s="110" t="s">
        <v>610</v>
      </c>
      <c r="F3" s="110" t="s">
        <v>611</v>
      </c>
      <c r="G3" s="110" t="s">
        <v>633</v>
      </c>
      <c r="I3" s="111" t="s">
        <v>613</v>
      </c>
      <c r="J3" s="111" t="s">
        <v>614</v>
      </c>
      <c r="K3" s="111" t="s">
        <v>615</v>
      </c>
      <c r="L3" s="111" t="s">
        <v>616</v>
      </c>
    </row>
    <row r="4" spans="2:12" ht="38.25" customHeight="1" x14ac:dyDescent="0.2">
      <c r="B4" s="128" t="str">
        <f>+'Plan de acción 2024'!G60</f>
        <v xml:space="preserve">Planear y ejecutar el Plan anual de auditorías interna Integral de acuerdo al cronograma </v>
      </c>
      <c r="C4" s="129">
        <f>+'Plan de acción 2024'!V60</f>
        <v>0</v>
      </c>
      <c r="D4" s="129">
        <f>+'Plan de acción 2024'!Y60</f>
        <v>0</v>
      </c>
      <c r="E4" s="129">
        <f>+'Plan de acción 2024'!AB60</f>
        <v>0</v>
      </c>
      <c r="F4" s="129">
        <f>+'Plan de acción 2024'!AE60</f>
        <v>0</v>
      </c>
      <c r="G4" s="129">
        <f t="shared" ref="G4:G9" si="0">SUMIF(C4:F4,"&gt;0",C4:F4)</f>
        <v>0</v>
      </c>
      <c r="I4" s="119" t="str">
        <f>IF('Plan de acción 2024'!AK60="","",'Plan de acción 2024'!AK60)</f>
        <v>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v>
      </c>
      <c r="J4" s="119" t="str">
        <f>IF('Plan de acción 2024'!AM60="","",'Plan de acción 2024'!AM60)</f>
        <v>En este trimestre, no se llevó a cabo el seguimiento de este indicador, ya que las auditorías están programadas para iniciar el 16 de julio, conforme al Plan aprobado. Por lo tanto, el seguimiento correspondiente se realizará en el próximo trimestre.</v>
      </c>
      <c r="K4" s="119" t="str">
        <f>IF('Plan de acción 2024'!AO60="","",'Plan de acción 2024'!AO60)</f>
        <v/>
      </c>
      <c r="L4" s="119" t="str">
        <f>IF('Plan de acción 2024'!AQ60="","",'Plan de acción 2024'!AQ60)</f>
        <v/>
      </c>
    </row>
    <row r="5" spans="2:12" ht="38.25" x14ac:dyDescent="0.2">
      <c r="B5" s="128" t="str">
        <f>+'Plan de acción 2024'!G61</f>
        <v>Realizar los seguimientos a los planes de mejoramiento aprobados por la Contraloría Departamental</v>
      </c>
      <c r="C5" s="129">
        <f>+'Plan de acción 2024'!V61</f>
        <v>0</v>
      </c>
      <c r="D5" s="129">
        <f>+'Plan de acción 2024'!Y61</f>
        <v>0.5</v>
      </c>
      <c r="E5" s="129">
        <f>+'Plan de acción 2024'!AB61</f>
        <v>0</v>
      </c>
      <c r="F5" s="129" t="str">
        <f>+'Plan de acción 2024'!AE61</f>
        <v>NA</v>
      </c>
      <c r="G5" s="129">
        <f t="shared" si="0"/>
        <v>0.5</v>
      </c>
      <c r="I5" s="119" t="str">
        <f>IF('Plan de acción 2024'!AK61="","",'Plan de acción 2024'!AK61)</f>
        <v>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v>
      </c>
      <c r="J5" s="119" t="str">
        <f>IF('Plan de acción 2024'!AM61="","",'Plan de acción 2024'!AM61)</f>
        <v>El proceso ha presentado la radicación del informe semestral del avance del plan de mejoramiento, cumpliendo con el indicador. Sin embargo, es importantel mejorar la calidad de las evidencias aportadas, incorporando el archivo del plan de mejoramiento actualizado, donde se detallen los avances de cada actividad, con fechas, responsables y estado de cumplimiento. Esto permitirá un seguimiento más eficaz y facilitará una visión integral del estado de las actividades programadas, permitiendo identificar áreas de mejora.</v>
      </c>
      <c r="K5" s="119" t="str">
        <f>IF('Plan de acción 2024'!AO61="","",'Plan de acción 2024'!AO61)</f>
        <v/>
      </c>
      <c r="L5" s="119" t="str">
        <f>IF('Plan de acción 2024'!AQ61="","",'Plan de acción 2024'!AQ61)</f>
        <v/>
      </c>
    </row>
    <row r="6" spans="2:12" ht="59.25" customHeight="1" x14ac:dyDescent="0.2">
      <c r="B6" s="128" t="str">
        <f>+'Plan de acción 2024'!G62</f>
        <v>Presentar los informes de ley  por parte de la OCI, cumpliendo con la normatividad aplicable Decreto 648  del 19 de abril  de 2017,  en materia de seguimientos  por parte de la OCI</v>
      </c>
      <c r="C6" s="129">
        <f>+'Plan de acción 2024'!V62</f>
        <v>0.21428571428571427</v>
      </c>
      <c r="D6" s="129">
        <f>+'Plan de acción 2024'!Y62</f>
        <v>0</v>
      </c>
      <c r="E6" s="129">
        <f>+'Plan de acción 2024'!AB62</f>
        <v>0</v>
      </c>
      <c r="F6" s="129">
        <f>+'Plan de acción 2024'!AE62</f>
        <v>0</v>
      </c>
      <c r="G6" s="129">
        <f t="shared" si="0"/>
        <v>0.21428571428571427</v>
      </c>
      <c r="I6" s="119" t="str">
        <f>IF('Plan de acción 2024'!AK62="","",'Plan de acción 2024'!AK62)</f>
        <v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v>
      </c>
      <c r="J6" s="119" t="str">
        <f>IF('Plan de acción 2024'!AM62="","",'Plan de acción 2024'!AM62)</f>
        <v>El indicador no se cumplió durante el segundo trimestre de 2024 debido a la falta de seguimiento y presentación de varios informes, entre ellos el informe semestral de PQRS para el primer semestre de 2024 y el segundo semestre de 2023; el informe de evaluación de riesgos, informe de evaluaicon del plan anticorrupción, informe de austeridad del gasto, entre otros.  Es importante iniciar la elaboración y publicación de los informes pendientes para garantizar la transparencia y asegurar el cumplimiento de las normativas vigentes.</v>
      </c>
      <c r="K6" s="119" t="str">
        <f>IF('Plan de acción 2024'!AO62="","",'Plan de acción 2024'!AO62)</f>
        <v/>
      </c>
      <c r="L6" s="119" t="str">
        <f>IF('Plan de acción 2024'!AQ62="","",'Plan de acción 2024'!AQ62)</f>
        <v/>
      </c>
    </row>
    <row r="7" spans="2:12" ht="48" customHeight="1" x14ac:dyDescent="0.2">
      <c r="B7" s="128" t="str">
        <f>+'Plan de acción 2024'!G63</f>
        <v>Seguimiento a los resultados de la Auditoría interna de la CSC</v>
      </c>
      <c r="C7" s="129">
        <f>+'Plan de acción 2024'!V63</f>
        <v>0</v>
      </c>
      <c r="D7" s="129">
        <f>+'Plan de acción 2024'!Y63</f>
        <v>0</v>
      </c>
      <c r="E7" s="129">
        <f>+'Plan de acción 2024'!AB63</f>
        <v>0</v>
      </c>
      <c r="F7" s="129">
        <f>+'Plan de acción 2024'!AE63</f>
        <v>0</v>
      </c>
      <c r="G7" s="129">
        <f t="shared" si="0"/>
        <v>0</v>
      </c>
      <c r="I7" s="119" t="str">
        <f>IF('Plan de acción 2024'!AK63="","",'Plan de acción 2024'!AK63)</f>
        <v>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v>
      </c>
      <c r="J7" s="119" t="str">
        <f>IF('Plan de acción 2024'!AM63="","",'Plan de acción 2024'!AM63)</f>
        <v xml:space="preserve">El indicador no se cumplió, debido al que el proceso no aporta evidencias de los seguimientos  a los hallazgos de la auditoria interna. </v>
      </c>
      <c r="K7" s="119" t="str">
        <f>IF('Plan de acción 2024'!AO63="","",'Plan de acción 2024'!AO63)</f>
        <v/>
      </c>
      <c r="L7" s="119" t="str">
        <f>IF('Plan de acción 2024'!AQ63="","",'Plan de acción 2024'!AQ63)</f>
        <v/>
      </c>
    </row>
    <row r="8" spans="2:12" ht="54.75" customHeight="1" x14ac:dyDescent="0.2">
      <c r="B8" s="128" t="str">
        <f>+'Plan de acción 2024'!G64</f>
        <v>Realizar Campañas de Autocontrol que armonicen la 7ma dimensión de MIPG</v>
      </c>
      <c r="C8" s="129">
        <f>+'Plan de acción 2024'!V64</f>
        <v>0.25</v>
      </c>
      <c r="D8" s="129">
        <f>+'Plan de acción 2024'!Y64</f>
        <v>0</v>
      </c>
      <c r="E8" s="129">
        <f>+'Plan de acción 2024'!AB64</f>
        <v>0</v>
      </c>
      <c r="F8" s="129">
        <f>+'Plan de acción 2024'!AE64</f>
        <v>0</v>
      </c>
      <c r="G8" s="129">
        <f t="shared" si="0"/>
        <v>0.25</v>
      </c>
      <c r="I8" s="119" t="str">
        <f>IF('Plan de acción 2024'!AK64="","",'Plan de acción 2024'!AK64)</f>
        <v>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v>
      </c>
      <c r="J8" s="119" t="str">
        <f>IF('Plan de acción 2024'!AM64="","",'Plan de acción 2024'!AM64)</f>
        <v>El indicador no se cumplió, ya que el proceso no presentó la campaña de autocontrol correspondiente al segundo trimestre de 2024. Este tipo de campañas son importantes para fomentar una actitud proactiva frente a los riesgos y promover mejoras en la gestión interna de la entidad. Se recomienda al proceso implementar un sistema de seguimiento interno que asegure el avance de las campañas planificadas, garantizando su cumplimiento en los plazos estipulados. El uso de alertas o recordatorios puede ser una herramienta útil para asegurar su ejecución oportuna.</v>
      </c>
      <c r="K8" s="119" t="str">
        <f>IF('Plan de acción 2024'!AO64="","",'Plan de acción 2024'!AO64)</f>
        <v/>
      </c>
      <c r="L8" s="119" t="str">
        <f>IF('Plan de acción 2024'!AQ64="","",'Plan de acción 2024'!AQ64)</f>
        <v/>
      </c>
    </row>
    <row r="9" spans="2:12" ht="41.25" customHeight="1" x14ac:dyDescent="0.2">
      <c r="B9" s="128" t="str">
        <f>+'Plan de acción 2024'!G65</f>
        <v>Realizar seguimiento a la plataforma SIA OBSERVA</v>
      </c>
      <c r="C9" s="129">
        <f>+'Plan de acción 2024'!V65</f>
        <v>8.3333333333333329E-2</v>
      </c>
      <c r="D9" s="129">
        <f>+'Plan de acción 2024'!Y65</f>
        <v>0.16666666666666666</v>
      </c>
      <c r="E9" s="129">
        <f>+'Plan de acción 2024'!AB65</f>
        <v>0</v>
      </c>
      <c r="F9" s="129">
        <f>+'Plan de acción 2024'!AE65</f>
        <v>0</v>
      </c>
      <c r="G9" s="129">
        <f t="shared" si="0"/>
        <v>0.25</v>
      </c>
      <c r="I9" s="121" t="str">
        <f>IF('Plan de acción 2024'!AK65="","",'Plan de acción 2024'!AK65)</f>
        <v>El indicador presenta un cumplimiento del 8.33% para el primer trimestre. Se evidencia seguimiento en el mes de enero. Se sugiere al proceso generar alertas en diferentes dias de cada mes para que se cumpla el objetivo del indicador.</v>
      </c>
      <c r="J9" s="121" t="str">
        <f>IF('Plan de acción 2024'!AM65="","",'Plan de acción 2024'!AM65)</f>
        <v>El indicador presenta un cumplimiento del 16.67% para el segundo trimestre. Se evidencia seguimiento en los meses de abril y mayo. Se sugiere al proceso generar alertas en diferentes dias de cada mes para que se cumpla el objetivo del indicador.</v>
      </c>
      <c r="K9" s="121" t="str">
        <f>IF('Plan de acción 2024'!AO65="","",'Plan de acción 2024'!AO65)</f>
        <v/>
      </c>
      <c r="L9" s="121" t="str">
        <f>IF('Plan de acción 2024'!AQ65="","",'Plan de acción 2024'!AQ65)</f>
        <v/>
      </c>
    </row>
    <row r="10" spans="2:12" ht="15" x14ac:dyDescent="0.2">
      <c r="B10" s="114" t="s">
        <v>617</v>
      </c>
      <c r="C10" s="108">
        <f>+AVERAGE(C4:C9)</f>
        <v>9.1269841269841279E-2</v>
      </c>
      <c r="D10" s="108">
        <f>+AVERAGE(D4:D9)</f>
        <v>0.1111111111111111</v>
      </c>
      <c r="E10" s="108">
        <f>+AVERAGE(E4:E9)</f>
        <v>0</v>
      </c>
      <c r="F10" s="108">
        <f>+AVERAGE(F4:F9)</f>
        <v>0</v>
      </c>
      <c r="G10" s="108">
        <f>+AVERAGE(G4:G9)</f>
        <v>0.20238095238095241</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6:C16"/>
  <sheetViews>
    <sheetView topLeftCell="A4" zoomScaleNormal="100" workbookViewId="0">
      <selection activeCell="C6" sqref="C6"/>
    </sheetView>
  </sheetViews>
  <sheetFormatPr baseColWidth="10" defaultColWidth="11.42578125" defaultRowHeight="15" x14ac:dyDescent="0.25"/>
  <cols>
    <col min="1" max="1" width="11.42578125" style="133"/>
    <col min="2" max="2" width="27.7109375" style="133" customWidth="1"/>
    <col min="3" max="3" width="16.7109375" style="133" customWidth="1"/>
    <col min="4" max="16384" width="11.42578125" style="133"/>
  </cols>
  <sheetData>
    <row r="6" spans="2:3" x14ac:dyDescent="0.25">
      <c r="B6" s="134" t="str">
        <f>+'Cumplimiento 2024'!C3</f>
        <v xml:space="preserve">Direccionamiento Estrategico </v>
      </c>
      <c r="C6" s="135">
        <f>+'Cumplimiento 2024'!C8</f>
        <v>0.5</v>
      </c>
    </row>
    <row r="7" spans="2:3" x14ac:dyDescent="0.25">
      <c r="B7" s="136" t="str">
        <f>+'Cumplimiento 2024'!D3</f>
        <v>Atención al Cliente</v>
      </c>
      <c r="C7" s="137">
        <f>+'Cumplimiento 2024'!D8</f>
        <v>0.45275075963238398</v>
      </c>
    </row>
    <row r="8" spans="2:3" x14ac:dyDescent="0.25">
      <c r="B8" s="136" t="str">
        <f>+'Cumplimiento 2024'!E3</f>
        <v>Bienestar</v>
      </c>
      <c r="C8" s="137">
        <f>+'Cumplimiento 2024'!E8</f>
        <v>0.25763978302728752</v>
      </c>
    </row>
    <row r="9" spans="2:3" x14ac:dyDescent="0.25">
      <c r="B9" s="136" t="str">
        <f>+'Cumplimiento 2024'!F3</f>
        <v>Crédito y Cartera</v>
      </c>
      <c r="C9" s="137">
        <f>+'Cumplimiento 2024'!F8</f>
        <v>0.21880898623642892</v>
      </c>
    </row>
    <row r="10" spans="2:3" x14ac:dyDescent="0.25">
      <c r="B10" s="136" t="str">
        <f>+'Cumplimiento 2024'!G3</f>
        <v>Gestión Contractual</v>
      </c>
      <c r="C10" s="137">
        <f>+'Cumplimiento 2024'!G8</f>
        <v>0.31018518518518517</v>
      </c>
    </row>
    <row r="11" spans="2:3" x14ac:dyDescent="0.25">
      <c r="B11" s="136" t="str">
        <f>+'Cumplimiento 2024'!H3</f>
        <v>Gestión de la Información</v>
      </c>
      <c r="C11" s="137">
        <f>+'Cumplimiento 2024'!H8</f>
        <v>0.47545454545454552</v>
      </c>
    </row>
    <row r="12" spans="2:3" x14ac:dyDescent="0.25">
      <c r="B12" s="136" t="str">
        <f>+'Cumplimiento 2024'!I3</f>
        <v xml:space="preserve">Gestión de Recursos Físicos </v>
      </c>
      <c r="C12" s="137">
        <f>+'Cumplimiento 2024'!I8</f>
        <v>0.46127946127946129</v>
      </c>
    </row>
    <row r="13" spans="2:3" x14ac:dyDescent="0.25">
      <c r="B13" s="136" t="str">
        <f>+'Cumplimiento 2024'!J3</f>
        <v>Gestión del Talento Humano</v>
      </c>
      <c r="C13" s="137">
        <f>+'Cumplimiento 2024'!J8</f>
        <v>0.40853617308992562</v>
      </c>
    </row>
    <row r="14" spans="2:3" x14ac:dyDescent="0.25">
      <c r="B14" s="136" t="str">
        <f>+'Cumplimiento 2024'!K3</f>
        <v>Gestión Financiera</v>
      </c>
      <c r="C14" s="137">
        <f>+'Cumplimiento 2024'!K8</f>
        <v>0.36721250059093147</v>
      </c>
    </row>
    <row r="15" spans="2:3" x14ac:dyDescent="0.25">
      <c r="B15" s="136" t="str">
        <f>+'Cumplimiento 2024'!L3</f>
        <v>Gestión Jurídica</v>
      </c>
      <c r="C15" s="137">
        <f>+'Cumplimiento 2024'!L8</f>
        <v>0.44255555555555554</v>
      </c>
    </row>
    <row r="16" spans="2:3" x14ac:dyDescent="0.25">
      <c r="B16" s="138" t="str">
        <f>+'Cumplimiento 2024'!M3</f>
        <v xml:space="preserve">Gestion del mejoramiento </v>
      </c>
      <c r="C16" s="139">
        <f>+'Cumplimiento 2024'!M8</f>
        <v>0.20238095238095238</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27"/>
  <sheetViews>
    <sheetView topLeftCell="A19" zoomScale="85" zoomScaleNormal="85" workbookViewId="0">
      <selection activeCell="D25" sqref="D25"/>
    </sheetView>
  </sheetViews>
  <sheetFormatPr baseColWidth="10" defaultColWidth="10.85546875" defaultRowHeight="14.25" x14ac:dyDescent="0.2"/>
  <cols>
    <col min="1" max="1" width="3.85546875" style="90" customWidth="1"/>
    <col min="2" max="2" width="24.7109375" style="90" customWidth="1"/>
    <col min="3" max="3" width="19.85546875" style="90" customWidth="1"/>
    <col min="4" max="4" width="12.42578125" style="90" customWidth="1"/>
    <col min="5" max="5" width="12" style="90" customWidth="1"/>
    <col min="6" max="6" width="13.85546875" style="90" customWidth="1"/>
    <col min="7" max="7" width="14.42578125" style="90" customWidth="1"/>
    <col min="8" max="8" width="18.85546875" style="90" customWidth="1"/>
    <col min="9" max="9" width="17.42578125" style="90" customWidth="1"/>
    <col min="10" max="10" width="14.42578125" style="90" customWidth="1"/>
    <col min="11" max="11" width="17.42578125" style="90" customWidth="1"/>
    <col min="12" max="12" width="10.85546875" style="90"/>
    <col min="13" max="13" width="15.140625" style="90" customWidth="1"/>
    <col min="14" max="14" width="16.7109375" style="90" customWidth="1"/>
    <col min="15" max="16384" width="10.85546875" style="90"/>
  </cols>
  <sheetData>
    <row r="2" spans="2:14" ht="29.25" customHeight="1" x14ac:dyDescent="0.4">
      <c r="B2" s="172" t="s">
        <v>586</v>
      </c>
      <c r="C2" s="172"/>
      <c r="D2" s="172"/>
      <c r="E2" s="172"/>
      <c r="F2" s="172"/>
      <c r="G2" s="172"/>
      <c r="H2" s="172"/>
      <c r="I2" s="172"/>
      <c r="J2" s="172"/>
      <c r="K2" s="172"/>
      <c r="L2" s="172"/>
      <c r="M2" s="172"/>
      <c r="N2" s="172"/>
    </row>
    <row r="3" spans="2:14" ht="45.75" thickBot="1" x14ac:dyDescent="0.25">
      <c r="B3" s="91" t="s">
        <v>587</v>
      </c>
      <c r="C3" s="92" t="s">
        <v>588</v>
      </c>
      <c r="D3" s="92" t="s">
        <v>589</v>
      </c>
      <c r="E3" s="92" t="s">
        <v>590</v>
      </c>
      <c r="F3" s="92" t="s">
        <v>591</v>
      </c>
      <c r="G3" s="92" t="s">
        <v>592</v>
      </c>
      <c r="H3" s="92" t="s">
        <v>593</v>
      </c>
      <c r="I3" s="92" t="s">
        <v>594</v>
      </c>
      <c r="J3" s="92" t="s">
        <v>595</v>
      </c>
      <c r="K3" s="92" t="s">
        <v>596</v>
      </c>
      <c r="L3" s="92" t="s">
        <v>597</v>
      </c>
      <c r="M3" s="92" t="s">
        <v>598</v>
      </c>
      <c r="N3" s="92" t="s">
        <v>599</v>
      </c>
    </row>
    <row r="4" spans="2:14" ht="43.5" customHeight="1" x14ac:dyDescent="0.2">
      <c r="B4" s="93" t="s">
        <v>600</v>
      </c>
      <c r="C4" s="94">
        <f>+'Direccionamiento Estrategico'!C8</f>
        <v>0.25</v>
      </c>
      <c r="D4" s="94">
        <f>+'Atención al Cliente'!C8</f>
        <v>0.24318997201458456</v>
      </c>
      <c r="E4" s="94">
        <f>+Bienestar!C7</f>
        <v>0.11959940407217347</v>
      </c>
      <c r="F4" s="94">
        <f>+Cartera!C8</f>
        <v>0.11887999283553496</v>
      </c>
      <c r="G4" s="94">
        <f>+'Gestión Contractual'!C7</f>
        <v>0.18055555555555555</v>
      </c>
      <c r="H4" s="94">
        <f>+'Gestión de la Información'!C9</f>
        <v>0.22000000000000003</v>
      </c>
      <c r="I4" s="94">
        <f>+'Gestión de Recursos Físicos'!C10</f>
        <v>0.16666666666666666</v>
      </c>
      <c r="J4" s="94">
        <f>+'Gestión de Talento Humano'!C12</f>
        <v>0.21416497633536172</v>
      </c>
      <c r="K4" s="94">
        <f>+'Gestión Financiera'!C9</f>
        <v>0.17711536447714837</v>
      </c>
      <c r="L4" s="94">
        <f>+'Gestión Jurídica'!C7</f>
        <v>0.10366666666666667</v>
      </c>
      <c r="M4" s="94">
        <f>+'Gestion del Mejoramiento'!C10</f>
        <v>9.1269841269841279E-2</v>
      </c>
      <c r="N4" s="173">
        <f>AVERAGE(C8:M8)</f>
        <v>0.37243671840296882</v>
      </c>
    </row>
    <row r="5" spans="2:14" ht="43.5" customHeight="1" x14ac:dyDescent="0.2">
      <c r="B5" s="93" t="s">
        <v>601</v>
      </c>
      <c r="C5" s="95">
        <f>+'Direccionamiento Estrategico'!D8</f>
        <v>0.25</v>
      </c>
      <c r="D5" s="95">
        <f>+'Atención al Cliente'!D8</f>
        <v>0.20956078761779939</v>
      </c>
      <c r="E5" s="95">
        <f>+Bienestar!D7</f>
        <v>0.13804037895511403</v>
      </c>
      <c r="F5" s="95">
        <f>+Cartera!D8</f>
        <v>9.9928993400893937E-2</v>
      </c>
      <c r="G5" s="95">
        <f>+'Gestión Contractual'!D7</f>
        <v>0.12962962962962962</v>
      </c>
      <c r="H5" s="95">
        <f>+'Gestión de la Información'!D9</f>
        <v>0.25545454545454549</v>
      </c>
      <c r="I5" s="95">
        <f>+'Gestión de Recursos Físicos'!D10</f>
        <v>0.2946127946127946</v>
      </c>
      <c r="J5" s="95">
        <f>+'Gestión de Talento Humano'!D12</f>
        <v>0.19437119675456391</v>
      </c>
      <c r="K5" s="95">
        <f>+'Gestión Financiera'!D9</f>
        <v>0.19009713611378307</v>
      </c>
      <c r="L5" s="95">
        <f>+'Gestión Jurídica'!D7</f>
        <v>0.33888888888888885</v>
      </c>
      <c r="M5" s="95">
        <f>+'Gestion del Mejoramiento'!D10</f>
        <v>0.1111111111111111</v>
      </c>
      <c r="N5" s="174"/>
    </row>
    <row r="6" spans="2:14" ht="43.5" customHeight="1" x14ac:dyDescent="0.2">
      <c r="B6" s="93" t="s">
        <v>602</v>
      </c>
      <c r="C6" s="95">
        <f>+'Direccionamiento Estrategico'!E8</f>
        <v>0</v>
      </c>
      <c r="D6" s="95">
        <f>+'Atención al Cliente'!E8</f>
        <v>0</v>
      </c>
      <c r="E6" s="95">
        <f>+Bienestar!E7</f>
        <v>0</v>
      </c>
      <c r="F6" s="95">
        <f>+Cartera!E8</f>
        <v>0</v>
      </c>
      <c r="G6" s="95">
        <f>+'Gestión Contractual'!E7</f>
        <v>0</v>
      </c>
      <c r="H6" s="95">
        <f>+'Gestión de la Información'!E9</f>
        <v>0</v>
      </c>
      <c r="I6" s="95">
        <f>+'Gestión de Recursos Físicos'!E10</f>
        <v>0</v>
      </c>
      <c r="J6" s="95">
        <f>+'Gestión de Talento Humano'!E12</f>
        <v>0</v>
      </c>
      <c r="K6" s="95">
        <f>+'Gestión Financiera'!E9</f>
        <v>0</v>
      </c>
      <c r="L6" s="95">
        <f>+'Gestión Jurídica'!E7</f>
        <v>0</v>
      </c>
      <c r="M6" s="95">
        <f>+'Gestion del Mejoramiento'!E10</f>
        <v>0</v>
      </c>
      <c r="N6" s="174"/>
    </row>
    <row r="7" spans="2:14" ht="39" customHeight="1" x14ac:dyDescent="0.2">
      <c r="B7" s="93" t="s">
        <v>603</v>
      </c>
      <c r="C7" s="95">
        <f>+'Direccionamiento Estrategico'!F8</f>
        <v>0</v>
      </c>
      <c r="D7" s="95">
        <f>+'Atención al Cliente'!F8</f>
        <v>0</v>
      </c>
      <c r="E7" s="95">
        <f>+Bienestar!E8</f>
        <v>0</v>
      </c>
      <c r="F7" s="95">
        <f>+Cartera!F8</f>
        <v>0</v>
      </c>
      <c r="G7" s="95">
        <f>+'Gestión Contractual'!F7</f>
        <v>0</v>
      </c>
      <c r="H7" s="95">
        <f>+'Gestión de la Información'!F9</f>
        <v>0</v>
      </c>
      <c r="I7" s="95">
        <f>+'Gestión de Recursos Físicos'!F10</f>
        <v>0</v>
      </c>
      <c r="J7" s="95">
        <f>+'Gestión de Talento Humano'!F12</f>
        <v>0</v>
      </c>
      <c r="K7" s="95">
        <f>+'Gestión Financiera'!F9</f>
        <v>0</v>
      </c>
      <c r="L7" s="95">
        <f>+'Gestión Jurídica'!F7</f>
        <v>0</v>
      </c>
      <c r="M7" s="95">
        <f>+'Gestion del Mejoramiento'!F10</f>
        <v>0</v>
      </c>
      <c r="N7" s="174"/>
    </row>
    <row r="8" spans="2:14" ht="42" customHeight="1" thickBot="1" x14ac:dyDescent="0.25">
      <c r="B8" s="93" t="s">
        <v>604</v>
      </c>
      <c r="C8" s="96">
        <f t="shared" ref="C8:M8" si="0">SUM(C4:C7)</f>
        <v>0.5</v>
      </c>
      <c r="D8" s="96">
        <f t="shared" si="0"/>
        <v>0.45275075963238398</v>
      </c>
      <c r="E8" s="96">
        <f t="shared" si="0"/>
        <v>0.25763978302728752</v>
      </c>
      <c r="F8" s="96">
        <f t="shared" si="0"/>
        <v>0.21880898623642892</v>
      </c>
      <c r="G8" s="96">
        <f t="shared" si="0"/>
        <v>0.31018518518518517</v>
      </c>
      <c r="H8" s="96">
        <f t="shared" si="0"/>
        <v>0.47545454545454552</v>
      </c>
      <c r="I8" s="96">
        <f t="shared" si="0"/>
        <v>0.46127946127946129</v>
      </c>
      <c r="J8" s="96">
        <f t="shared" si="0"/>
        <v>0.40853617308992562</v>
      </c>
      <c r="K8" s="96">
        <f t="shared" si="0"/>
        <v>0.36721250059093147</v>
      </c>
      <c r="L8" s="96">
        <f t="shared" si="0"/>
        <v>0.44255555555555554</v>
      </c>
      <c r="M8" s="96">
        <f t="shared" si="0"/>
        <v>0.20238095238095238</v>
      </c>
      <c r="N8" s="175"/>
    </row>
    <row r="13" spans="2:14" x14ac:dyDescent="0.2">
      <c r="H13" s="97"/>
    </row>
    <row r="14" spans="2:14" x14ac:dyDescent="0.2">
      <c r="H14" s="98"/>
    </row>
    <row r="16" spans="2:14" x14ac:dyDescent="0.2">
      <c r="H16" s="97"/>
    </row>
    <row r="17" spans="2:14" x14ac:dyDescent="0.2">
      <c r="K17" s="99"/>
    </row>
    <row r="18" spans="2:14" x14ac:dyDescent="0.2">
      <c r="I18" s="97"/>
      <c r="K18" s="99"/>
    </row>
    <row r="19" spans="2:14" x14ac:dyDescent="0.2">
      <c r="I19" s="98"/>
      <c r="K19" s="99"/>
    </row>
    <row r="20" spans="2:14" x14ac:dyDescent="0.2">
      <c r="I20" s="97"/>
    </row>
    <row r="22" spans="2:14" x14ac:dyDescent="0.2">
      <c r="B22" s="90" t="s">
        <v>587</v>
      </c>
      <c r="C22" s="90" t="s">
        <v>588</v>
      </c>
      <c r="D22" s="90" t="s">
        <v>589</v>
      </c>
      <c r="E22" s="90" t="s">
        <v>590</v>
      </c>
      <c r="F22" s="90" t="s">
        <v>591</v>
      </c>
      <c r="G22" s="90" t="s">
        <v>592</v>
      </c>
      <c r="H22" s="90" t="s">
        <v>593</v>
      </c>
      <c r="I22" s="90" t="s">
        <v>594</v>
      </c>
      <c r="J22" s="90" t="s">
        <v>595</v>
      </c>
      <c r="K22" s="90" t="s">
        <v>596</v>
      </c>
      <c r="L22" s="90" t="s">
        <v>597</v>
      </c>
      <c r="M22" s="90" t="s">
        <v>598</v>
      </c>
      <c r="N22" s="90" t="s">
        <v>599</v>
      </c>
    </row>
    <row r="23" spans="2:14" x14ac:dyDescent="0.2">
      <c r="B23" s="90" t="s">
        <v>663</v>
      </c>
      <c r="C23" s="152">
        <v>0.25</v>
      </c>
      <c r="D23" s="152">
        <v>0.24318997201458456</v>
      </c>
      <c r="E23" s="152">
        <v>0.11959940407217347</v>
      </c>
      <c r="F23" s="152">
        <v>0.11887999283553496</v>
      </c>
      <c r="G23" s="152">
        <v>0.18055555555555555</v>
      </c>
      <c r="H23" s="152">
        <v>0.22000000000000003</v>
      </c>
      <c r="I23" s="152">
        <v>0.16666666666666666</v>
      </c>
      <c r="J23" s="152">
        <v>0.21416497633536172</v>
      </c>
      <c r="K23" s="152">
        <v>0.17711536447714837</v>
      </c>
      <c r="L23" s="152">
        <v>0.10366666666666667</v>
      </c>
      <c r="M23" s="152">
        <v>9.1269841269841279E-2</v>
      </c>
      <c r="N23" s="151">
        <v>0.34707260639731036</v>
      </c>
    </row>
    <row r="24" spans="2:14" x14ac:dyDescent="0.2">
      <c r="B24" s="90" t="s">
        <v>664</v>
      </c>
      <c r="C24" s="152">
        <v>0.25</v>
      </c>
      <c r="D24" s="152">
        <v>0.20960000000000001</v>
      </c>
      <c r="E24" s="152">
        <v>0.13804037895511403</v>
      </c>
      <c r="F24" s="152">
        <v>9.9928993400893937E-2</v>
      </c>
      <c r="G24" s="152">
        <v>0.12962962962962962</v>
      </c>
      <c r="H24" s="152">
        <v>0.25545454545454549</v>
      </c>
      <c r="I24" s="152">
        <v>0.29459999999999997</v>
      </c>
      <c r="J24" s="152">
        <v>0.19437119675456391</v>
      </c>
      <c r="K24" s="152">
        <v>0.19009713611378307</v>
      </c>
      <c r="L24" s="152">
        <v>0.33889999999999998</v>
      </c>
      <c r="M24" s="152">
        <v>0.1111111111111111</v>
      </c>
      <c r="N24" s="151">
        <v>0.37180000000000002</v>
      </c>
    </row>
    <row r="25" spans="2:14" ht="15.75" customHeight="1" x14ac:dyDescent="0.2">
      <c r="C25" s="151"/>
      <c r="D25" s="151"/>
      <c r="E25" s="151"/>
      <c r="F25" s="151"/>
      <c r="G25" s="151"/>
      <c r="H25" s="151"/>
      <c r="I25" s="151"/>
      <c r="J25" s="151"/>
      <c r="K25" s="151"/>
      <c r="L25" s="151"/>
      <c r="M25" s="151"/>
      <c r="N25" s="151"/>
    </row>
    <row r="26" spans="2:14" x14ac:dyDescent="0.2">
      <c r="C26" s="151"/>
      <c r="D26" s="151"/>
      <c r="E26" s="151"/>
      <c r="F26" s="151"/>
      <c r="G26" s="151"/>
      <c r="H26" s="151"/>
      <c r="I26" s="151"/>
      <c r="J26" s="151"/>
      <c r="K26" s="151"/>
      <c r="L26" s="151"/>
      <c r="M26" s="151"/>
      <c r="N26" s="151"/>
    </row>
    <row r="27" spans="2:14" x14ac:dyDescent="0.2">
      <c r="C27" s="151"/>
      <c r="D27" s="151"/>
      <c r="E27" s="151"/>
      <c r="F27" s="151"/>
      <c r="G27" s="151"/>
      <c r="H27" s="151"/>
      <c r="I27" s="151"/>
      <c r="J27" s="151"/>
      <c r="K27" s="151"/>
      <c r="L27" s="151"/>
      <c r="M27" s="151"/>
      <c r="N27" s="151"/>
    </row>
  </sheetData>
  <mergeCells count="2">
    <mergeCell ref="B2:N2"/>
    <mergeCell ref="N4:N8"/>
  </mergeCell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
  <sheetViews>
    <sheetView zoomScale="90" zoomScaleNormal="90" workbookViewId="0">
      <selection activeCell="J6" sqref="J6"/>
    </sheetView>
  </sheetViews>
  <sheetFormatPr baseColWidth="10" defaultColWidth="11.42578125" defaultRowHeight="14.25" x14ac:dyDescent="0.2"/>
  <cols>
    <col min="1" max="1" width="4.42578125" style="100" customWidth="1"/>
    <col min="2" max="2" width="40.28515625" style="100" customWidth="1"/>
    <col min="3" max="3" width="13.7109375" style="100" customWidth="1"/>
    <col min="4" max="6" width="11.42578125" style="100"/>
    <col min="7" max="7" width="16.42578125" style="100" customWidth="1"/>
    <col min="8" max="8" width="6" style="100" customWidth="1"/>
    <col min="9" max="12" width="20.7109375" style="100" customWidth="1"/>
    <col min="13" max="16384" width="11.42578125" style="100"/>
  </cols>
  <sheetData>
    <row r="2" spans="2:12" ht="20.25" x14ac:dyDescent="0.3">
      <c r="B2" s="176" t="s">
        <v>605</v>
      </c>
      <c r="C2" s="176"/>
      <c r="D2" s="176"/>
      <c r="E2" s="176"/>
      <c r="F2" s="176"/>
      <c r="G2" s="176"/>
      <c r="I2" s="176" t="s">
        <v>606</v>
      </c>
      <c r="J2" s="176"/>
      <c r="K2" s="176"/>
      <c r="L2" s="176"/>
    </row>
    <row r="3" spans="2:12" ht="45" x14ac:dyDescent="0.2">
      <c r="B3" s="101" t="s">
        <v>607</v>
      </c>
      <c r="C3" s="101" t="s">
        <v>608</v>
      </c>
      <c r="D3" s="101" t="s">
        <v>609</v>
      </c>
      <c r="E3" s="101" t="s">
        <v>610</v>
      </c>
      <c r="F3" s="101" t="s">
        <v>611</v>
      </c>
      <c r="G3" s="101" t="s">
        <v>612</v>
      </c>
      <c r="I3" s="102" t="s">
        <v>613</v>
      </c>
      <c r="J3" s="102" t="s">
        <v>614</v>
      </c>
      <c r="K3" s="102" t="s">
        <v>615</v>
      </c>
      <c r="L3" s="102" t="s">
        <v>616</v>
      </c>
    </row>
    <row r="4" spans="2:12" ht="71.25" x14ac:dyDescent="0.2">
      <c r="B4" s="103" t="str">
        <f>+'Plan de acción 2024'!G11</f>
        <v>Seguimiento y consolidación del Formulario Único de Reporte de Avances de la Gestión "FURAG" y evaluación del Modelo Integrado de Planeación y Gestión  "MIPG"</v>
      </c>
      <c r="C4" s="104" t="str">
        <f>'Plan de acción 2024'!V11</f>
        <v>N/A</v>
      </c>
      <c r="D4" s="104" t="str">
        <f>'Plan de acción 2024'!Y11</f>
        <v>N/A</v>
      </c>
      <c r="E4" s="104">
        <f>'Plan de acción 2024'!AB11</f>
        <v>0</v>
      </c>
      <c r="F4" s="104" t="str">
        <f>'Plan de acción 2024'!AE11</f>
        <v>N/A</v>
      </c>
      <c r="G4" s="104">
        <f>SUMIF(C4:F4,"&gt;0",C4:F4)</f>
        <v>0</v>
      </c>
      <c r="I4" s="105" t="str">
        <f>IF('Plan de acción 2024'!AK11="","",'Plan de acción 2024'!AK11)</f>
        <v>N/A</v>
      </c>
      <c r="J4" s="105" t="str">
        <f>IF('Plan de acción 2024'!AM11="","",'Plan de acción 2024'!AM11)</f>
        <v>Realizar reuniones de apertura y seguimiento, asì como la presentación del reporte FURAG reflejan un compromiso claro por parte de la entidad. Continuar con la asesoría, monitoreo, y capacitación será importante para asegurar el cumplimiento del indicador.</v>
      </c>
      <c r="K4" s="105" t="str">
        <f>IF('Plan de acción 2024'!AO11="","",'Plan de acción 2024'!AO11)</f>
        <v/>
      </c>
      <c r="L4" s="105" t="str">
        <f>IF('Plan de acción 2024'!AQ11="","",'Plan de acción 2024'!AQ11)</f>
        <v/>
      </c>
    </row>
    <row r="5" spans="2:12" ht="28.5" x14ac:dyDescent="0.2">
      <c r="B5" s="103" t="str">
        <f>+'Plan de acción 2024'!G12</f>
        <v>Seguimiento a los 12 planes del Decreto 612 de 2018</v>
      </c>
      <c r="C5" s="104">
        <f>'Plan de acción 2024'!V12</f>
        <v>0.25</v>
      </c>
      <c r="D5" s="104">
        <f>'Plan de acción 2024'!Y12</f>
        <v>0.25</v>
      </c>
      <c r="E5" s="104">
        <f>'Plan de acción 2024'!AB12</f>
        <v>0</v>
      </c>
      <c r="F5" s="104">
        <f>'Plan de acción 2024'!AE12</f>
        <v>0</v>
      </c>
      <c r="G5" s="104">
        <f>SUMIF(C5:F5,"&gt;0",C5:F5)</f>
        <v>0.5</v>
      </c>
      <c r="I5" s="105" t="str">
        <f>IF('Plan de acción 2024'!AK12="","",'Plan de acción 2024'!AK12)</f>
        <v>N/A</v>
      </c>
      <c r="J5" s="105" t="str">
        <f>IF('Plan de acción 2024'!AM12="","",'Plan de acción 2024'!AM12)</f>
        <v>La oficina de Planeación ha realizado un seguimiento de manera satisfactoria durante el segundo trimestre de 2024, cumpliendo con el indicador. Los planes con niveles de ejecución bajos necesitan acciones correctivas y atención inmediata en los próximos trimestres. Es importante ofrecer acompañamiento, fortalecer el monitoreo y establecer prioridades en las áreas críticas para asegurar el cumplimiento de las metas establecidas para el resto del año.</v>
      </c>
      <c r="K5" s="105" t="str">
        <f>IF('Plan de acción 2024'!AO12="","",'Plan de acción 2024'!AO12)</f>
        <v/>
      </c>
      <c r="L5" s="105" t="str">
        <f>IF('Plan de acción 2024'!AQ12="","",'Plan de acción 2024'!AQ12)</f>
        <v/>
      </c>
    </row>
    <row r="6" spans="2:12" ht="42.75" x14ac:dyDescent="0.2">
      <c r="B6" s="103" t="str">
        <f>+'Plan de acción 2024'!G13</f>
        <v>Seguimiento y publicación del plan de acción de la Corporación Social de Cundinamarca</v>
      </c>
      <c r="C6" s="104">
        <f>'Plan de acción 2024'!V13</f>
        <v>0.25</v>
      </c>
      <c r="D6" s="104">
        <f>'Plan de acción 2024'!Y13</f>
        <v>0.25</v>
      </c>
      <c r="E6" s="104">
        <f>'Plan de acción 2024'!AB13</f>
        <v>0</v>
      </c>
      <c r="F6" s="104">
        <f>'Plan de acción 2024'!AE13</f>
        <v>0</v>
      </c>
      <c r="G6" s="104">
        <f>SUMIF(C6:F6,"&gt;0",C6:F6)</f>
        <v>0.5</v>
      </c>
      <c r="I6" s="105" t="str">
        <f>IF('Plan de acción 2024'!AK13="","",'Plan de acción 2024'!AK13)</f>
        <v>N/A</v>
      </c>
      <c r="J6" s="105" t="str">
        <f>IF('Plan de acción 2024'!AM13="","",'Plan de acción 2024'!AM13)</f>
        <v>El avance del 37.18% refleja que se están ejecutando las actividades del plan, pero es importante trabajar en la mejora continua de las evidencias y en la ejecución de las actividades restantes. Fortalecer la calidad de las evidencias, mejorar la comunicación entre los procesos y la oficina de Planeación, y establecer mecanismos de seguimiento más dinámicos ayudará a asegurar que se cumplan los objetivos en los siguientes trimestres.</v>
      </c>
      <c r="K6" s="105" t="str">
        <f>IF('Plan de acción 2024'!AO13="","",'Plan de acción 2024'!AO13)</f>
        <v/>
      </c>
      <c r="L6" s="105" t="str">
        <f>IF('Plan de acción 2024'!AQ13="","",'Plan de acción 2024'!AQ13)</f>
        <v/>
      </c>
    </row>
    <row r="7" spans="2:12" ht="28.5" x14ac:dyDescent="0.2">
      <c r="B7" s="103" t="str">
        <f>+'Plan de acción 2024'!G14</f>
        <v>Seguimiento y actualización al Sistema Único de Información de trámites -SUIT</v>
      </c>
      <c r="C7" s="104">
        <f>'Plan de acción 2024'!V14</f>
        <v>0.25</v>
      </c>
      <c r="D7" s="104">
        <f>'Plan de acción 2024'!Y14</f>
        <v>0.25</v>
      </c>
      <c r="E7" s="104">
        <f>'Plan de acción 2024'!AB14</f>
        <v>0</v>
      </c>
      <c r="F7" s="104">
        <f>'Plan de acción 2024'!AE14</f>
        <v>0</v>
      </c>
      <c r="G7" s="104">
        <f>SUMIF(C7:F7,"&gt;0",C7:F7)</f>
        <v>0.5</v>
      </c>
      <c r="I7" s="106" t="str">
        <f>IF('Plan de acción 2024'!AK14="","",'Plan de acción 2024'!AK14)</f>
        <v>N/A</v>
      </c>
      <c r="J7" s="106" t="str">
        <f>IF('Plan de acción 2024'!AM14="","",'Plan de acción 2024'!AM14)</f>
        <v>El proceso ha cumplido satisfactoriamente con el objetivo del indicador. Sin embargo, es importante mantener el seguimiento a la estrategia de racionalización de trámites para garantizar que los avances logrados se sostengan en el tiempo y se sigan mejorando los trámites de la entidad.</v>
      </c>
      <c r="K7" s="106" t="str">
        <f>IF('Plan de acción 2024'!AO14="","",'Plan de acción 2024'!AO14)</f>
        <v/>
      </c>
      <c r="L7" s="106" t="str">
        <f>IF('Plan de acción 2024'!AQ14="","",'Plan de acción 2024'!AQ14)</f>
        <v/>
      </c>
    </row>
    <row r="8" spans="2:12" ht="31.5" customHeight="1" x14ac:dyDescent="0.2">
      <c r="B8" s="107" t="s">
        <v>617</v>
      </c>
      <c r="C8" s="108">
        <f>+AVERAGE(C4:C7)</f>
        <v>0.25</v>
      </c>
      <c r="D8" s="108">
        <f>+AVERAGE(D4:D7)</f>
        <v>0.25</v>
      </c>
      <c r="E8" s="108">
        <f>+AVERAGE(E4:E7)</f>
        <v>0</v>
      </c>
      <c r="F8" s="108">
        <f>+AVERAGE(F4:F7)</f>
        <v>0</v>
      </c>
      <c r="G8" s="108">
        <f>+AVERAGE(G4:G7)</f>
        <v>0.375</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8"/>
  <sheetViews>
    <sheetView zoomScale="90" zoomScaleNormal="90" workbookViewId="0">
      <selection activeCell="I4" sqref="I4"/>
    </sheetView>
  </sheetViews>
  <sheetFormatPr baseColWidth="10" defaultColWidth="10.85546875" defaultRowHeight="14.25" x14ac:dyDescent="0.2"/>
  <cols>
    <col min="1" max="1" width="3.7109375" style="90" customWidth="1"/>
    <col min="2" max="2" width="31.140625" style="90" customWidth="1"/>
    <col min="3" max="6" width="10.85546875" style="90"/>
    <col min="7" max="7" width="17" style="90" customWidth="1"/>
    <col min="8" max="8" width="6" style="90" customWidth="1"/>
    <col min="9" max="12" width="20.7109375" style="90" customWidth="1"/>
    <col min="13" max="16384" width="10.85546875" style="90"/>
  </cols>
  <sheetData>
    <row r="2" spans="2:12" s="109" customFormat="1" ht="35.25" customHeight="1" x14ac:dyDescent="0.25">
      <c r="B2" s="177" t="s">
        <v>618</v>
      </c>
      <c r="C2" s="177"/>
      <c r="D2" s="177"/>
      <c r="E2" s="177"/>
      <c r="F2" s="177"/>
      <c r="G2" s="177"/>
      <c r="I2" s="177" t="s">
        <v>606</v>
      </c>
      <c r="J2" s="177"/>
      <c r="K2" s="177"/>
      <c r="L2" s="177"/>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x14ac:dyDescent="0.2">
      <c r="B4" s="112" t="str">
        <f>+'Plan de acción 2024'!G15</f>
        <v xml:space="preserve">Atender las PQRSDF dentro de los términos legales. </v>
      </c>
      <c r="C4" s="113">
        <f>+'Plan de acción 2024'!V15</f>
        <v>0.22807017543859651</v>
      </c>
      <c r="D4" s="113">
        <f>+'Plan de acción 2024'!Y15</f>
        <v>0.25</v>
      </c>
      <c r="E4" s="113">
        <f>+'Plan de acción 2024'!AB15</f>
        <v>0</v>
      </c>
      <c r="F4" s="113">
        <f>+'Plan de acción 2024'!AE15</f>
        <v>0</v>
      </c>
      <c r="G4" s="113">
        <f>SUMIF(C4:F4,"&gt;0",C4:F4)</f>
        <v>0.47807017543859653</v>
      </c>
      <c r="I4" s="105" t="str">
        <f>IF('Plan de acción 2024'!AK15="","",'Plan de acción 2024'!AK15)</f>
        <v/>
      </c>
      <c r="J4" s="105" t="str">
        <f>IF('Plan de acción 2024'!AM15="","",'Plan de acción 2024'!AM15)</f>
        <v>El indicador correspondiente al segundo trimestre de 2024 refleja un cumplimiento satisfactorio, con un total de 1,143 PQRSDF gestionadas, de las cuales 1,140 fueron respondidas dentro de los términos establecidos. Este manejo destaca la gestión eficiente por parte del proceso de Atención al cliente. Sin embargo, se recomienda fomentar una mayor retroalimentación por parte de los usuarios y revisar las solicitudes que no fueron respondidas dentro del plazo. Promover la participación de los usuarios a través de sugerencias y felicitaciones contribuirá a la mejora continua de la calidad del servicio ofrecido. Adicionalmente se le recomienda al proceso revisar la información de los informes debido a que en su mayoria presentan errores en el análisis de los datos.</v>
      </c>
      <c r="K4" s="105" t="str">
        <f>IF('Plan de acción 2024'!AO15="","",'Plan de acción 2024'!AO15)</f>
        <v/>
      </c>
      <c r="L4" s="105" t="str">
        <f>IF('Plan de acción 2024'!AQ15="","",'Plan de acción 2024'!AQ15)</f>
        <v/>
      </c>
    </row>
    <row r="5" spans="2:12" x14ac:dyDescent="0.2">
      <c r="B5" s="112" t="str">
        <f>+'Plan de acción 2024'!G16</f>
        <v xml:space="preserve">Medir la satisfacción del cliente externo, mínimo del 70% de la población atendida </v>
      </c>
      <c r="C5" s="113">
        <f>+'Plan de acción 2024'!V16</f>
        <v>0.24468971261974176</v>
      </c>
      <c r="D5" s="113">
        <f>+'Plan de acción 2024'!Y16</f>
        <v>0.23871934094738814</v>
      </c>
      <c r="E5" s="113">
        <f>+'Plan de acción 2024'!AB16</f>
        <v>0</v>
      </c>
      <c r="F5" s="113">
        <f>+'Plan de acción 2024'!AE16</f>
        <v>0</v>
      </c>
      <c r="G5" s="113">
        <f>SUMIF(C5:F5,"&gt;0",C5:F5)</f>
        <v>0.48340905356712993</v>
      </c>
      <c r="I5" s="105" t="str">
        <f>IF('Plan de acción 2024'!AK16="","",'Plan de acción 2024'!AK16)</f>
        <v>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v>
      </c>
      <c r="J5" s="105" t="str">
        <f>IF('Plan de acción 2024'!AM16="","",'Plan de acción 2024'!AM16)</f>
        <v xml:space="preserve">La aplicación de 109 encuestas, con un cumplimiento del 94% en el indicador, es un resultado positivo. Sin embargo, es importante recordar que este indicador exige que al menos el 70% de las personas atendidas participen, para asegurar una muestra representativa y precisa. Aunque se logró un alto nivel de satisfacción del usuario, las insatisfacciones detectadas indican la necesidad de mejorar en aspectos como la atención telefónica y los tiempos de desembolso de créditos. Implementar las recomendaciones para abordar estas acciones de mejora, así como aumentar la cantidad de encuestas aplicadas, contribuirá a una mayor satisfacción del usuario y a un cumplimiento más sólido del indicador. Adicionalmente, se recomienda revisar la presentación de los informes, mejorando aspectos como la justificación del texto, el tipo de letra y otros elementos del formato.
</v>
      </c>
      <c r="K5" s="105" t="str">
        <f>IF('Plan de acción 2024'!AO16="","",'Plan de acción 2024'!AO16)</f>
        <v/>
      </c>
      <c r="L5" s="105" t="str">
        <f>IF('Plan de acción 2024'!AQ16="","",'Plan de acción 2024'!AQ16)</f>
        <v/>
      </c>
    </row>
    <row r="6" spans="2:12" x14ac:dyDescent="0.2">
      <c r="B6" s="112" t="str">
        <f>+'Plan de acción 2024'!G17</f>
        <v>Seguimiento al Plan de Comunicaciones de la CSC</v>
      </c>
      <c r="C6" s="113">
        <f>+'Plan de acción 2024'!V17</f>
        <v>0.25</v>
      </c>
      <c r="D6" s="113">
        <f>+'Plan de acción 2024'!Y17</f>
        <v>0.16666666666666666</v>
      </c>
      <c r="E6" s="113">
        <f>+'Plan de acción 2024'!AB17</f>
        <v>0</v>
      </c>
      <c r="F6" s="113">
        <f>+'Plan de acción 2024'!AE17</f>
        <v>0</v>
      </c>
      <c r="G6" s="113">
        <f>SUMIF(C6:F6,"&gt;0",C6:F6)</f>
        <v>0.41666666666666663</v>
      </c>
      <c r="I6" s="105" t="str">
        <f>IF('Plan de acción 2024'!AK17="","",'Plan de acción 2024'!AK17)</f>
        <v>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v>
      </c>
      <c r="J6" s="105" t="str">
        <f>IF('Plan de acción 2024'!AM17="","",'Plan de acción 2024'!AM17)</f>
        <v>El Plan de Comunicaciones ha avanzado significativamente en la ejecución de las actividades programadas para el segundo trimestre, alcanzando un 66.67% de los objetivos establecidos. No obstante, es importante que el equipo de comunicaciones complete las actividades pendientes y realice los ajustes necesarios en el diseño del plan para asegurar el cumplimiento de los objetivos generales y maximizar los beneficios para la entidad.
Estas acciones son fundamentales para fortalecer el diagnóstico de las necesidades comunicativas, optimizar la divulgación de alianzas estratégicas y garantizar que el plan esté alineado con las metas institucionales. Se recomienda implementar un monitoreo constante del progreso en la ejecución del plan, a fin de asegurar que las actividades se desarrollen dentro de los plazos establecidos y con el nivel de calidad requerido.</v>
      </c>
      <c r="K6" s="105" t="str">
        <f>IF('Plan de acción 2024'!AO17="","",'Plan de acción 2024'!AO17)</f>
        <v/>
      </c>
      <c r="L6" s="105" t="str">
        <f>IF('Plan de acción 2024'!AQ17="","",'Plan de acción 2024'!AQ17)</f>
        <v/>
      </c>
    </row>
    <row r="7" spans="2:12" x14ac:dyDescent="0.2">
      <c r="B7" s="112" t="str">
        <f>+'Plan de acción 2024'!G18</f>
        <v xml:space="preserve">Realizar nuevas vinculaciones durante el cuatrienio </v>
      </c>
      <c r="C7" s="113">
        <f>+'Plan de acción 2024'!V18</f>
        <v>0.25</v>
      </c>
      <c r="D7" s="113">
        <f>+'Plan de acción 2024'!Y18</f>
        <v>0.18285714285714286</v>
      </c>
      <c r="E7" s="113">
        <f>+'Plan de acción 2024'!AB18</f>
        <v>0</v>
      </c>
      <c r="F7" s="113">
        <f>+'Plan de acción 2024'!AE18</f>
        <v>0</v>
      </c>
      <c r="G7" s="113">
        <f>SUMIF(C7:F7,"&gt;0",C7:F7)</f>
        <v>0.43285714285714283</v>
      </c>
      <c r="I7" s="106" t="str">
        <f>IF('Plan de acción 2024'!AK18="","",'Plan de acción 2024'!AK18)</f>
        <v>El indicador cumple con lo programado.  Este resultado fortalece la base de afiliados y contribuye al crecimiento y sostenibilidad de la entidad.</v>
      </c>
      <c r="J7" s="106" t="str">
        <f>IF('Plan de acción 2024'!AM18="","",'Plan de acción 2024'!AM18)</f>
        <v>El indicador de afiliaciones alcanzó un 73.14% de cumplimiento durante el segundo trimestre de 2024, lo que refleja un desempeño aceptable, aunque con margen de mejora. Se recomienda ajustar las estrategias de afiliación y fortalecer el seguimiento para lograr las metas completas en los próximos trimestres. Potenciar las campañas de difusión sobre los beneficios de la afiliación, especialmente a través de canales más efectivos como redes sociales y medios locales, podría atraer a un mayor número de personas.</v>
      </c>
      <c r="K7" s="106" t="str">
        <f>IF('Plan de acción 2024'!AO18="","",'Plan de acción 2024'!AO18)</f>
        <v/>
      </c>
      <c r="L7" s="106" t="str">
        <f>IF('Plan de acción 2024'!AQ18="","",'Plan de acción 2024'!AQ18)</f>
        <v/>
      </c>
    </row>
    <row r="8" spans="2:12" ht="15" x14ac:dyDescent="0.2">
      <c r="B8" s="114" t="s">
        <v>617</v>
      </c>
      <c r="C8" s="108">
        <f>+AVERAGE(C4:C7)</f>
        <v>0.24318997201458456</v>
      </c>
      <c r="D8" s="108">
        <f>+AVERAGE(D4:D7)</f>
        <v>0.20956078761779939</v>
      </c>
      <c r="E8" s="108">
        <f>+AVERAGE(E4:E7)</f>
        <v>0</v>
      </c>
      <c r="F8" s="108">
        <f>+AVERAGE(F4:F7)</f>
        <v>0</v>
      </c>
      <c r="G8" s="108">
        <f>+AVERAGE(G4:G7)</f>
        <v>0.45275075963238398</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7"/>
  <sheetViews>
    <sheetView zoomScale="90" zoomScaleNormal="90" workbookViewId="0">
      <selection activeCell="I2" sqref="I2:L2"/>
    </sheetView>
  </sheetViews>
  <sheetFormatPr baseColWidth="10" defaultColWidth="10.85546875" defaultRowHeight="15" x14ac:dyDescent="0.25"/>
  <cols>
    <col min="1" max="1" width="4.28515625" style="115" customWidth="1"/>
    <col min="2" max="2" width="53.7109375" style="115" customWidth="1"/>
    <col min="3" max="6" width="10.85546875" style="115"/>
    <col min="7" max="7" width="18.7109375" style="115" customWidth="1"/>
    <col min="8" max="8" width="6" style="115" customWidth="1"/>
    <col min="9" max="9" width="62.85546875" style="115" customWidth="1"/>
    <col min="10" max="12" width="20.7109375" style="115" customWidth="1"/>
    <col min="13" max="16384" width="10.85546875" style="115"/>
  </cols>
  <sheetData>
    <row r="2" spans="2:12" ht="23.25" x14ac:dyDescent="0.35">
      <c r="B2" s="178" t="s">
        <v>619</v>
      </c>
      <c r="C2" s="178"/>
      <c r="D2" s="178"/>
      <c r="E2" s="178"/>
      <c r="F2" s="178"/>
      <c r="G2" s="178"/>
      <c r="I2" s="178" t="s">
        <v>620</v>
      </c>
      <c r="J2" s="178"/>
      <c r="K2" s="178"/>
      <c r="L2" s="178"/>
    </row>
    <row r="3" spans="2:12" ht="45" x14ac:dyDescent="0.25">
      <c r="B3" s="110" t="s">
        <v>607</v>
      </c>
      <c r="C3" s="111" t="s">
        <v>621</v>
      </c>
      <c r="D3" s="111" t="s">
        <v>622</v>
      </c>
      <c r="E3" s="111" t="s">
        <v>623</v>
      </c>
      <c r="F3" s="111" t="s">
        <v>624</v>
      </c>
      <c r="G3" s="111" t="s">
        <v>612</v>
      </c>
      <c r="I3" s="111" t="s">
        <v>613</v>
      </c>
      <c r="J3" s="111" t="s">
        <v>614</v>
      </c>
      <c r="K3" s="111" t="s">
        <v>615</v>
      </c>
      <c r="L3" s="111" t="s">
        <v>616</v>
      </c>
    </row>
    <row r="4" spans="2:12" ht="57" customHeight="1" x14ac:dyDescent="0.25">
      <c r="B4" s="116" t="str">
        <f>+'Plan de acción 2024'!G19</f>
        <v>Beneficiar el 20% de los afiliados y beneficiarios con las actividades y servicios de bienestar que presta la Corporación.</v>
      </c>
      <c r="C4" s="117">
        <f>+'Plan de acción 2024'!V19</f>
        <v>0.23919880814434694</v>
      </c>
      <c r="D4" s="117">
        <f>+'Plan de acción 2024'!Y19</f>
        <v>0.12141280353200883</v>
      </c>
      <c r="E4" s="117">
        <f>+'Plan de acción 2024'!AB19</f>
        <v>0</v>
      </c>
      <c r="F4" s="117">
        <f>+'Plan de acción 2024'!AE19</f>
        <v>0</v>
      </c>
      <c r="G4" s="117">
        <f>SUMIF(C4:F4,"&gt;0",C4:F4)</f>
        <v>0.36061161167635575</v>
      </c>
      <c r="I4" s="118" t="str">
        <f>IF('Plan de acción 2024'!AK19="","",'Plan de acción 2024'!AK19)</f>
        <v>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v>
      </c>
      <c r="J4" s="119" t="str">
        <f>IF('Plan de acción 2024'!AM19="","",'Plan de acción 2024'!AM19)</f>
        <v>Durante el segundo trimestre, el proceso alcanzó un cumplimiento del 45.83% (440 de 960), beneficiando a los afiliados a través de la entrega de kits promocionales. Este avance refleja un esfuerzo significativo en la distribución de recursos y la atención a los afiliados, logrando un progreso considerable. Sin embargo, aún existe un margen de mejora para alcanzar el objetivo total. Las encuestas aplicadas proporcionan una base sólida para planificar y ejecutar futuras actividades de capacitación y recreación, contribuyendo al fortalecimiento del proceso y al bienestar de los afiliados.</v>
      </c>
      <c r="K4" s="119" t="str">
        <f>IF('Plan de acción 2024'!AO19="","",'Plan de acción 2024'!AO19)</f>
        <v/>
      </c>
      <c r="L4" s="119" t="str">
        <f>IF('Plan de acción 2024'!AQ19="","",'Plan de acción 2024'!AQ19)</f>
        <v/>
      </c>
    </row>
    <row r="5" spans="2:12" ht="77.25" customHeight="1" x14ac:dyDescent="0.25">
      <c r="B5" s="116" t="str">
        <f>+'Plan de acción 2024'!G20</f>
        <v>Beneficiar a los afiliados con actividades   encaminadas a difundir y promocionar el portafolio de servicios de la entidad. Asesorando y tramitando tanto créditos como afiliaciones de manera virtual y presencial  en los diferentes municipios del Departamento.</v>
      </c>
      <c r="C5" s="117">
        <f>+'Plan de acción 2024'!V20</f>
        <v>0</v>
      </c>
      <c r="D5" s="117">
        <f>+'Plan de acción 2024'!Y20</f>
        <v>9.3749999999999997E-3</v>
      </c>
      <c r="E5" s="117">
        <f>+'Plan de acción 2024'!AB20</f>
        <v>0</v>
      </c>
      <c r="F5" s="117">
        <f>+'Plan de acción 2024'!AE20</f>
        <v>0</v>
      </c>
      <c r="G5" s="117">
        <f>SUMIF(C5:F5,"&gt;0",C5:F5)</f>
        <v>9.3749999999999997E-3</v>
      </c>
      <c r="I5" s="118" t="str">
        <f>IF('Plan de acción 2024'!AK20="","",'Plan de acción 2024'!AK20)</f>
        <v>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v>
      </c>
      <c r="J5" s="119" t="str">
        <f>IF('Plan de acción 2024'!AM20="","",'Plan de acción 2024'!AM20)</f>
        <v>Se evidencia la participación de la CSC en las actividades con las entidades de la CAR, secretaria de educación y Licorera de Cundinamarca. No obstante, se recomienda ajustar el cronograma de visitas a los municipios del departamento para asegurar que estas puedan realizarse de manera eficiente una vez el personal necesario haya sido contratado y asi cumplir con el indicador.</v>
      </c>
      <c r="K5" s="119" t="str">
        <f>IF('Plan de acción 2024'!AO20="","",'Plan de acción 2024'!AO20)</f>
        <v/>
      </c>
      <c r="L5" s="119" t="str">
        <f>IF('Plan de acción 2024'!AQ20="","",'Plan de acción 2024'!AQ20)</f>
        <v/>
      </c>
    </row>
    <row r="6" spans="2:12" ht="75" customHeight="1" x14ac:dyDescent="0.25">
      <c r="B6" s="116" t="str">
        <f>+'Plan de acción 2024'!G21</f>
        <v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v>
      </c>
      <c r="C6" s="117" t="str">
        <f>+'Plan de acción 2024'!V21</f>
        <v>N/A</v>
      </c>
      <c r="D6" s="117">
        <f>+'Plan de acción 2024'!Y21</f>
        <v>0.28333333333333333</v>
      </c>
      <c r="E6" s="117" t="str">
        <f>+'Plan de acción 2024'!AB21</f>
        <v>N/A</v>
      </c>
      <c r="F6" s="117">
        <f>+'Plan de acción 2024'!AE21</f>
        <v>0</v>
      </c>
      <c r="G6" s="117">
        <f>SUMIF(C6:F6,"&gt;0",C6:F6)</f>
        <v>0.28333333333333333</v>
      </c>
      <c r="I6" s="120" t="str">
        <f>IF('Plan de acción 2024'!AK21="","",'Plan de acción 2024'!AK21)</f>
        <v>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v>
      </c>
      <c r="J6" s="121" t="str">
        <f>IF('Plan de acción 2024'!AM21="","",'Plan de acción 2024'!AM21)</f>
        <v>De los 30 subsidios educativos programados, se han girado 17, alcanzando un 56.7% del objetivo semestral. Aunque el proceso ha mostrado avances, no se logró cumplir con la totalidad de los subsidios previstos. Los 13 subsidios no girados se deben a diversas situaciones que deben ser analizadas para mejorar el cumplimiento en los siguinetes periodos.</v>
      </c>
      <c r="K6" s="121" t="str">
        <f>IF('Plan de acción 2024'!AO21="","",'Plan de acción 2024'!AO21)</f>
        <v/>
      </c>
      <c r="L6" s="121" t="str">
        <f>IF('Plan de acción 2024'!AQ21="","",'Plan de acción 2024'!AQ21)</f>
        <v/>
      </c>
    </row>
    <row r="7" spans="2:12" s="90" customFormat="1" x14ac:dyDescent="0.25">
      <c r="B7" s="114" t="s">
        <v>617</v>
      </c>
      <c r="C7" s="122">
        <f>AVERAGE(C4:C6)</f>
        <v>0.11959940407217347</v>
      </c>
      <c r="D7" s="122">
        <f>AVERAGE(D4:D6)</f>
        <v>0.13804037895511403</v>
      </c>
      <c r="E7" s="122">
        <f>AVERAGE(E4:E6)</f>
        <v>0</v>
      </c>
      <c r="F7" s="122">
        <f>AVERAGE(F4:F6)</f>
        <v>0</v>
      </c>
      <c r="G7" s="122">
        <f>AVERAGE(G4:G6)</f>
        <v>0.21777331500322972</v>
      </c>
      <c r="I7" s="115"/>
      <c r="J7" s="115"/>
      <c r="K7" s="115"/>
      <c r="L7" s="115"/>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7"/>
  <sheetViews>
    <sheetView zoomScale="90" zoomScaleNormal="90" workbookViewId="0">
      <selection activeCell="I6" sqref="I6"/>
    </sheetView>
  </sheetViews>
  <sheetFormatPr baseColWidth="10" defaultColWidth="10.85546875" defaultRowHeight="15" x14ac:dyDescent="0.25"/>
  <cols>
    <col min="1" max="1" width="3.42578125" style="123" customWidth="1"/>
    <col min="2" max="2" width="37.28515625" style="123" customWidth="1"/>
    <col min="3" max="3" width="11.42578125" style="123" customWidth="1"/>
    <col min="4" max="5" width="11" style="123" customWidth="1"/>
    <col min="6" max="6" width="10.42578125" style="123" customWidth="1"/>
    <col min="7" max="7" width="19.42578125" style="123" customWidth="1"/>
    <col min="8" max="8" width="6" style="123" customWidth="1"/>
    <col min="9" max="9" width="69.7109375" style="123" customWidth="1"/>
    <col min="10" max="12" width="20.7109375" style="123" customWidth="1"/>
    <col min="13" max="16384" width="10.85546875" style="123"/>
  </cols>
  <sheetData>
    <row r="2" spans="2:12" ht="23.25" x14ac:dyDescent="0.35">
      <c r="B2" s="178" t="s">
        <v>625</v>
      </c>
      <c r="C2" s="178"/>
      <c r="D2" s="178"/>
      <c r="E2" s="178"/>
      <c r="F2" s="178"/>
      <c r="G2" s="178"/>
      <c r="I2" s="178" t="s">
        <v>620</v>
      </c>
      <c r="J2" s="178"/>
      <c r="K2" s="178"/>
      <c r="L2" s="178"/>
    </row>
    <row r="3" spans="2:12" ht="45" x14ac:dyDescent="0.25">
      <c r="B3" s="110" t="s">
        <v>607</v>
      </c>
      <c r="C3" s="110" t="s">
        <v>608</v>
      </c>
      <c r="D3" s="110" t="s">
        <v>609</v>
      </c>
      <c r="E3" s="110" t="s">
        <v>610</v>
      </c>
      <c r="F3" s="110" t="s">
        <v>611</v>
      </c>
      <c r="G3" s="110" t="s">
        <v>612</v>
      </c>
      <c r="I3" s="111" t="s">
        <v>613</v>
      </c>
      <c r="J3" s="111" t="s">
        <v>614</v>
      </c>
      <c r="K3" s="111" t="s">
        <v>615</v>
      </c>
      <c r="L3" s="111" t="s">
        <v>616</v>
      </c>
    </row>
    <row r="4" spans="2:12" ht="100.5" customHeight="1" x14ac:dyDescent="0.25">
      <c r="B4" s="124" t="str">
        <f>+'Plan de acción 2024'!G22</f>
        <v xml:space="preserve">Colocación de créditos. </v>
      </c>
      <c r="C4" s="125">
        <f>+'Plan de acción 2024'!V22</f>
        <v>4.5555555555555557E-2</v>
      </c>
      <c r="D4" s="125">
        <f>+'Plan de acción 2024'!Y22</f>
        <v>5.7222222222222223E-2</v>
      </c>
      <c r="E4" s="125">
        <f>+'Plan de acción 2024'!AB22</f>
        <v>0</v>
      </c>
      <c r="F4" s="125">
        <f>+'Plan de acción 2024'!AE22</f>
        <v>0</v>
      </c>
      <c r="G4" s="125">
        <f>SUMIF(C4:F4,"&gt;0",C4:F4)</f>
        <v>0.10277777777777777</v>
      </c>
      <c r="I4" s="118" t="str">
        <f>IF('Plan de acción 2024'!AK22="","",'Plan de acción 2024'!AK22)</f>
        <v>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v>
      </c>
      <c r="J4" s="119" t="str">
        <f>IF('Plan de acción 2024'!AM22="","",'Plan de acción 2024'!AM22)</f>
        <v>Se alcanzó un 15.84% (103 de 650) de la meta trimestral en cuanto a la colocación de créditos, lo que indica que el indicador no cumple con la meta establecida para el período. Se recomienda al proceso evaluar los procedimientos de solicitud y legalización de créditos para identificar obstáculos y optimizar la tasa de cumplimiento. Además, es aconsejable implementar estrategias de comunicación con los afiliados para recordarles los requisitos y plazos de presentación de documentos.</v>
      </c>
      <c r="K4" s="119" t="str">
        <f>IF('Plan de acción 2024'!AO22="","",'Plan de acción 2024'!AO22)</f>
        <v/>
      </c>
      <c r="L4" s="119" t="str">
        <f>IF('Plan de acción 2024'!AQ22="","",'Plan de acción 2024'!AQ22)</f>
        <v/>
      </c>
    </row>
    <row r="5" spans="2:12" ht="100.5" customHeight="1" x14ac:dyDescent="0.25">
      <c r="B5" s="124" t="str">
        <f>+'Plan de acción 2024'!G23</f>
        <v>Asegurar el cumplimiento de tiempos en los Créditos hipotecarios.</v>
      </c>
      <c r="C5" s="125">
        <f>+'Plan de acción 2024'!V23</f>
        <v>0.25</v>
      </c>
      <c r="D5" s="125">
        <f>+'Plan de acción 2024'!Y23</f>
        <v>0.25</v>
      </c>
      <c r="E5" s="125">
        <f>+'Plan de acción 2024'!AB23</f>
        <v>0</v>
      </c>
      <c r="F5" s="125">
        <f>+'Plan de acción 2024'!AE23</f>
        <v>0</v>
      </c>
      <c r="G5" s="125">
        <f>SUMIF(C5:F5,"&gt;0",C5:F5)</f>
        <v>0.5</v>
      </c>
      <c r="I5" s="118" t="str">
        <f>IF('Plan de acción 2024'!AK23="","",'Plan de acción 2024'!AK23)</f>
        <v>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v>
      </c>
      <c r="J5" s="119" t="str">
        <f>IF('Plan de acción 2024'!AM23="","",'Plan de acción 2024'!AM23)</f>
        <v xml:space="preserve">De los 82 créditos desembolsados, 4 correspondieron a vivienda hipotecaria, y fueron procesados en menos de 45 días. Esto refleja una gestión efectiva del proceso, que permitió cumplir satisfactoriamente con la meta de tiempo establecida para el desembolso de créditos hipotecarios en el segundo trimestre de 2024.
</v>
      </c>
      <c r="K5" s="119" t="str">
        <f>IF('Plan de acción 2024'!AO23="","",'Plan de acción 2024'!AO23)</f>
        <v/>
      </c>
      <c r="L5" s="119" t="str">
        <f>IF('Plan de acción 2024'!AQ23="","",'Plan de acción 2024'!AQ23)</f>
        <v/>
      </c>
    </row>
    <row r="6" spans="2:12" ht="100.5" customHeight="1" x14ac:dyDescent="0.25">
      <c r="B6" s="124" t="str">
        <f>+'Plan de acción 2024'!G24</f>
        <v>Asegurar el cumplimiento de tiempos en el Crédito de consumo.</v>
      </c>
      <c r="C6" s="125">
        <f>+'Plan de acción 2024'!V24</f>
        <v>0.23148148148148148</v>
      </c>
      <c r="D6" s="125">
        <f>+'Plan de acción 2024'!Y24</f>
        <v>0.18181818181818182</v>
      </c>
      <c r="E6" s="125">
        <f>+'Plan de acción 2024'!AB24</f>
        <v>0</v>
      </c>
      <c r="F6" s="125">
        <f>+'Plan de acción 2024'!AE24</f>
        <v>0</v>
      </c>
      <c r="G6" s="125">
        <f>SUMIF(C6:F6,"&gt;0",C6:F6)</f>
        <v>0.41329966329966328</v>
      </c>
      <c r="I6" s="120" t="str">
        <f>IF('Plan de acción 2024'!AK24="","",'Plan de acción 2024'!AK24)</f>
        <v>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v>
      </c>
      <c r="J6" s="121" t="str">
        <f>IF('Plan de acción 2024'!AM24="","",'Plan de acción 2024'!AM24)</f>
        <v>El 73% (72 de 99) de los créditos de consumo fueron desembolsados dentro del tiempo objetivo de 15 días. Sin embargo, el 27% restante se vio afectado por factores externos, como la falta de documentos por parte de los afiliados y demoras en las verificaciones, lo que impactó negativamente el cumplimiento total del indicador. Se recomienda fomentar el uso de herramientas digitales que faciliten la entrega y verificación de documentos, reduciendo la dependencia de los trámites en papel y acelerando el proceso. Además, es importante revisar y optimizar los protocolos de verificación para garantizar respuestas más ágiles y evitar retrasos en el desembolso de créditos.</v>
      </c>
      <c r="K6" s="121" t="str">
        <f>IF('Plan de acción 2024'!AO24="","",'Plan de acción 2024'!AO24)</f>
        <v/>
      </c>
      <c r="L6" s="121" t="str">
        <f>IF('Plan de acción 2024'!AQ24="","",'Plan de acción 2024'!AQ24)</f>
        <v/>
      </c>
    </row>
    <row r="7" spans="2:12" s="126" customFormat="1" ht="21.75" customHeight="1" x14ac:dyDescent="0.25">
      <c r="B7" s="114" t="s">
        <v>617</v>
      </c>
      <c r="C7" s="127">
        <f>+AVERAGE(C4:C6)</f>
        <v>0.17567901234567904</v>
      </c>
      <c r="D7" s="127">
        <f>+AVERAGE(D4:D6)</f>
        <v>0.16301346801346803</v>
      </c>
      <c r="E7" s="127">
        <f>+AVERAGE(E4:E6)</f>
        <v>0</v>
      </c>
      <c r="F7" s="127">
        <f>+AVERAGE(F4:F6)</f>
        <v>0</v>
      </c>
      <c r="G7" s="127">
        <f>+AVERAGE(G4:G6)</f>
        <v>0.33869248035914695</v>
      </c>
      <c r="I7" s="123"/>
      <c r="J7" s="123"/>
      <c r="K7" s="123"/>
      <c r="L7" s="123"/>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8"/>
  <sheetViews>
    <sheetView zoomScale="90" zoomScaleNormal="90" workbookViewId="0">
      <selection activeCell="I4" sqref="I4"/>
    </sheetView>
  </sheetViews>
  <sheetFormatPr baseColWidth="10" defaultColWidth="10.85546875" defaultRowHeight="15" x14ac:dyDescent="0.25"/>
  <cols>
    <col min="1" max="1" width="3.42578125" style="123" customWidth="1"/>
    <col min="2" max="2" width="37.28515625" style="123" customWidth="1"/>
    <col min="3" max="3" width="11.42578125" style="123" customWidth="1"/>
    <col min="4" max="5" width="11" style="123" customWidth="1"/>
    <col min="6" max="6" width="10.42578125" style="123" customWidth="1"/>
    <col min="7" max="7" width="19.42578125" style="123" customWidth="1"/>
    <col min="8" max="8" width="6" style="123" customWidth="1"/>
    <col min="9" max="12" width="20.7109375" style="123" customWidth="1"/>
    <col min="13" max="16384" width="10.85546875" style="123"/>
  </cols>
  <sheetData>
    <row r="2" spans="2:12" ht="23.25" x14ac:dyDescent="0.35">
      <c r="B2" s="178" t="s">
        <v>625</v>
      </c>
      <c r="C2" s="178"/>
      <c r="D2" s="178"/>
      <c r="E2" s="178"/>
      <c r="F2" s="178"/>
      <c r="G2" s="178"/>
      <c r="I2" s="178" t="s">
        <v>606</v>
      </c>
      <c r="J2" s="178"/>
      <c r="K2" s="178"/>
      <c r="L2" s="178"/>
    </row>
    <row r="3" spans="2:12" ht="45" x14ac:dyDescent="0.25">
      <c r="B3" s="110" t="s">
        <v>607</v>
      </c>
      <c r="C3" s="110" t="s">
        <v>608</v>
      </c>
      <c r="D3" s="110" t="s">
        <v>609</v>
      </c>
      <c r="E3" s="110" t="s">
        <v>610</v>
      </c>
      <c r="F3" s="110" t="s">
        <v>611</v>
      </c>
      <c r="G3" s="110" t="s">
        <v>612</v>
      </c>
      <c r="I3" s="111" t="s">
        <v>613</v>
      </c>
      <c r="J3" s="111" t="s">
        <v>614</v>
      </c>
      <c r="K3" s="111" t="s">
        <v>615</v>
      </c>
      <c r="L3" s="111" t="s">
        <v>616</v>
      </c>
    </row>
    <row r="4" spans="2:12" ht="46.5" customHeight="1" x14ac:dyDescent="0.25">
      <c r="B4" s="124" t="str">
        <f>+'Plan de acción 2024'!G25</f>
        <v xml:space="preserve">Disminuir el porcentaje de cartera vencida por debajo del 24%. </v>
      </c>
      <c r="C4" s="125">
        <f>+'Plan de acción 2024'!V25</f>
        <v>0.11416666666666658</v>
      </c>
      <c r="D4" s="125">
        <f>+'Plan de acción 2024'!Y25</f>
        <v>0</v>
      </c>
      <c r="E4" s="125">
        <f>+'Plan de acción 2024'!AB25</f>
        <v>0</v>
      </c>
      <c r="F4" s="125">
        <f>+'Plan de acción 2024'!AE25</f>
        <v>0</v>
      </c>
      <c r="G4" s="125">
        <f>SUMIF(C4:F4,"&gt;0",C4:F4)</f>
        <v>0.11416666666666658</v>
      </c>
      <c r="I4" s="119" t="str">
        <f>IF('Plan de acción 2024'!AK25="","",'Plan de acción 2024'!AK25)</f>
        <v xml:space="preserve">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v>
      </c>
      <c r="J4" s="119" t="str">
        <f>IF('Plan de acción 2024'!AM25="","",'Plan de acción 2024'!AM25)</f>
        <v>El resultado del segundo trimestre muestra un 30.8%, lo que representa un incumplimiento significativo respecto al objetivo de mantener la cartera por debajo del 24%. Este notable desvío indica problemas serios en la gestión de la cartera y sugiere que las estrategias actuales no están siendo efectivas para mantenerla dentro del límite deseado. Es importante tomar medidas para abordar esta situación y prevenir el incremento en la cartera.</v>
      </c>
      <c r="K4" s="119" t="str">
        <f>IF('Plan de acción 2024'!AO25="","",'Plan de acción 2024'!AO25)</f>
        <v/>
      </c>
      <c r="L4" s="119" t="str">
        <f>IF('Plan de acción 2024'!AQ25="","",'Plan de acción 2024'!AQ25)</f>
        <v/>
      </c>
    </row>
    <row r="5" spans="2:12" ht="33" customHeight="1" x14ac:dyDescent="0.25">
      <c r="B5" s="124" t="str">
        <f>+'Plan de acción 2024'!G26</f>
        <v xml:space="preserve">Aplicar el total del valor recaudado de las diferentes pagadurías. </v>
      </c>
      <c r="C5" s="125">
        <f>+'Plan de acción 2024'!V26</f>
        <v>0.2488533046754732</v>
      </c>
      <c r="D5" s="125">
        <f>+'Plan de acción 2024'!Y26</f>
        <v>0.24971597360357575</v>
      </c>
      <c r="E5" s="125">
        <f>+'Plan de acción 2024'!AB26</f>
        <v>0</v>
      </c>
      <c r="F5" s="125">
        <f>+'Plan de acción 2024'!AE26</f>
        <v>0</v>
      </c>
      <c r="G5" s="125">
        <f>SUMIF(C5:F5,"&gt;0",C5:F5)</f>
        <v>0.49856927827904896</v>
      </c>
      <c r="I5" s="119" t="str">
        <f>IF('Plan de acción 2024'!AK26="","",'Plan de acción 2024'!AK26)</f>
        <v>El cumplimiento satisfactorio del desglose de los recaudos recibidos en el primer trimestre de 2024 refleja una gestión eficiente y control de los ingresos.</v>
      </c>
      <c r="J5" s="119" t="str">
        <f>IF('Plan de acción 2024'!AM26="","",'Plan de acción 2024'!AM26)</f>
        <v>El indicador demuestra un desempeño satisfactorio en cuanto a los desgloses de recaudos, gracias a una efectiva gestión interna del proceso. A pesar de que hay un pequeño valor pendiente de identificación, la eficiencia  y el control  han contribuido a mantener un buen manejo en la identificación de los ingresos.</v>
      </c>
      <c r="K5" s="119" t="str">
        <f>IF('Plan de acción 2024'!AO26="","",'Plan de acción 2024'!AO26)</f>
        <v/>
      </c>
      <c r="L5" s="119" t="str">
        <f>IF('Plan de acción 2024'!AQ26="","",'Plan de acción 2024'!AQ26)</f>
        <v/>
      </c>
    </row>
    <row r="6" spans="2:12" ht="33" customHeight="1" x14ac:dyDescent="0.25">
      <c r="B6" s="124" t="str">
        <f>+'Plan de acción 2024'!G27</f>
        <v>Disminuir el porcentaje de cartera en "estado persuasivo"</v>
      </c>
      <c r="C6" s="125">
        <f>+'Plan de acción 2024'!V27</f>
        <v>6.2499999999999972E-2</v>
      </c>
      <c r="D6" s="125">
        <f>+'Plan de acción 2024'!Y27</f>
        <v>0.15</v>
      </c>
      <c r="E6" s="125">
        <f>+'Plan de acción 2024'!AB27</f>
        <v>0</v>
      </c>
      <c r="F6" s="125">
        <f>+'Plan de acción 2024'!AE27</f>
        <v>0</v>
      </c>
      <c r="G6" s="125">
        <f>SUMIF(C6:F6,"&gt;0",C6:F6)</f>
        <v>0.21249999999999997</v>
      </c>
      <c r="I6" s="119" t="str">
        <f>IF('Plan de acción 2024'!AK27="","",'Plan de acción 2024'!AK27)</f>
        <v>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v>
      </c>
      <c r="J6" s="119" t="str">
        <f>IF('Plan de acción 2024'!AM27="","",'Plan de acción 2024'!AM27)</f>
        <v>El indicador muestra un cumplimiento del 15% durante el trimestre, aunque se logró una reducción del 0.7% respecto al trimestre anterior. Es necesario continuar implementando estrategias de recaudo que permitan un cobro más eficiente, tales como mejorar la comunicación con los deudores, ofrecer opciones de pago flexibles y establecer sistemas de incentivos.</v>
      </c>
      <c r="K6" s="119" t="str">
        <f>IF('Plan de acción 2024'!AO27="","",'Plan de acción 2024'!AO27)</f>
        <v/>
      </c>
      <c r="L6" s="119" t="str">
        <f>IF('Plan de acción 2024'!AQ27="","",'Plan de acción 2024'!AQ27)</f>
        <v/>
      </c>
    </row>
    <row r="7" spans="2:12" ht="33" customHeight="1" x14ac:dyDescent="0.25">
      <c r="B7" s="124" t="str">
        <f>+'Plan de acción 2024'!G28</f>
        <v>Disminuir el porcentaje de cartera en estado pre-jurídico</v>
      </c>
      <c r="C7" s="125">
        <f>+'Plan de acción 2024'!V28</f>
        <v>5.0000000000000044E-2</v>
      </c>
      <c r="D7" s="125">
        <f>+'Plan de acción 2024'!Y28</f>
        <v>0</v>
      </c>
      <c r="E7" s="125">
        <f>+'Plan de acción 2024'!AB28</f>
        <v>0</v>
      </c>
      <c r="F7" s="125">
        <f>+'Plan de acción 2024'!AE28</f>
        <v>0</v>
      </c>
      <c r="G7" s="125">
        <f>SUMIF(C7:F7,"&gt;0",C7:F7)</f>
        <v>5.0000000000000044E-2</v>
      </c>
      <c r="I7" s="121" t="str">
        <f>IF('Plan de acción 2024'!AK28="","",'Plan de acción 2024'!AK28)</f>
        <v>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v>
      </c>
      <c r="J7" s="121" t="str">
        <f>IF('Plan de acción 2024'!AM28="","",'Plan de acción 2024'!AM28)</f>
        <v>El objetivo de mantener la cartera en estado pre-jurídico por debajo del 2% no se alcanzó durante el trimestre, ya que el indicador subió al 4.3%, un incremento del 0.4% en comparación con el trimestre anterior. Esto demuestra que las estrategias actuales para el cobro de la cartera no están siendo efectivas. Se sugiere revisar la comunicación con los deudores, ofrecer opciones de pago flexibles y establecer sistemas de incentivos que permitan mejorar el recaudo de la cartera en su totalidad.</v>
      </c>
      <c r="K7" s="121" t="str">
        <f>IF('Plan de acción 2024'!AO28="","",'Plan de acción 2024'!AO28)</f>
        <v/>
      </c>
      <c r="L7" s="121" t="str">
        <f>IF('Plan de acción 2024'!AQ28="","",'Plan de acción 2024'!AQ28)</f>
        <v/>
      </c>
    </row>
    <row r="8" spans="2:12" s="126" customFormat="1" ht="21.75" customHeight="1" x14ac:dyDescent="0.25">
      <c r="B8" s="114" t="s">
        <v>617</v>
      </c>
      <c r="C8" s="127">
        <f>+AVERAGE(C4:C7)</f>
        <v>0.11887999283553496</v>
      </c>
      <c r="D8" s="127">
        <f>+AVERAGE(D4:D7)</f>
        <v>9.9928993400893937E-2</v>
      </c>
      <c r="E8" s="127">
        <f>+AVERAGE(E4:E7)</f>
        <v>0</v>
      </c>
      <c r="F8" s="127">
        <f>+AVERAGE(F4:F7)</f>
        <v>0</v>
      </c>
      <c r="G8" s="127">
        <f>+AVERAGE(G4:G7)</f>
        <v>0.21880898623642886</v>
      </c>
      <c r="I8" s="123"/>
      <c r="J8" s="123"/>
      <c r="K8" s="123"/>
      <c r="L8" s="123"/>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7"/>
  <sheetViews>
    <sheetView zoomScale="90" zoomScaleNormal="90" workbookViewId="0">
      <selection activeCell="I6" sqref="I6"/>
    </sheetView>
  </sheetViews>
  <sheetFormatPr baseColWidth="10" defaultColWidth="10.85546875" defaultRowHeight="14.25" x14ac:dyDescent="0.2"/>
  <cols>
    <col min="1" max="1" width="10.85546875" style="90"/>
    <col min="2" max="2" width="35.42578125" style="90" customWidth="1"/>
    <col min="3" max="6" width="10.85546875" style="90"/>
    <col min="7" max="7" width="14.42578125" style="90" customWidth="1"/>
    <col min="8" max="8" width="6" style="90" customWidth="1"/>
    <col min="9" max="12" width="20.7109375" style="90" customWidth="1"/>
    <col min="13" max="16384" width="10.85546875" style="90"/>
  </cols>
  <sheetData>
    <row r="2" spans="2:12" ht="37.5" customHeight="1" x14ac:dyDescent="0.2">
      <c r="B2" s="179" t="s">
        <v>626</v>
      </c>
      <c r="C2" s="179"/>
      <c r="D2" s="179"/>
      <c r="E2" s="179"/>
      <c r="F2" s="179"/>
      <c r="G2" s="179"/>
      <c r="I2" s="179" t="s">
        <v>606</v>
      </c>
      <c r="J2" s="179"/>
      <c r="K2" s="179"/>
      <c r="L2" s="179"/>
    </row>
    <row r="3" spans="2:12" ht="60" x14ac:dyDescent="0.2">
      <c r="B3" s="110" t="s">
        <v>607</v>
      </c>
      <c r="C3" s="110" t="s">
        <v>608</v>
      </c>
      <c r="D3" s="110" t="s">
        <v>609</v>
      </c>
      <c r="E3" s="110" t="s">
        <v>610</v>
      </c>
      <c r="F3" s="110" t="s">
        <v>611</v>
      </c>
      <c r="G3" s="110" t="s">
        <v>612</v>
      </c>
      <c r="I3" s="111" t="s">
        <v>613</v>
      </c>
      <c r="J3" s="111" t="s">
        <v>614</v>
      </c>
      <c r="K3" s="111" t="s">
        <v>615</v>
      </c>
      <c r="L3" s="111" t="s">
        <v>616</v>
      </c>
    </row>
    <row r="4" spans="2:12" ht="38.25" x14ac:dyDescent="0.2">
      <c r="B4" s="128" t="str">
        <f>+'Plan de acción 2024'!G29</f>
        <v>Realizar la  gestión contractual acorde con la programación establecida en el Plan Anual de Adquisiciones</v>
      </c>
      <c r="C4" s="129">
        <f>+'Plan de acción 2024'!V29</f>
        <v>0.125</v>
      </c>
      <c r="D4" s="129">
        <f>+'Plan de acción 2024'!Y29</f>
        <v>5.5555555555555552E-2</v>
      </c>
      <c r="E4" s="129">
        <f>+'Plan de acción 2024'!AB29</f>
        <v>0</v>
      </c>
      <c r="F4" s="129">
        <f>+'Plan de acción 2024'!AE29</f>
        <v>0</v>
      </c>
      <c r="G4" s="129">
        <f>SUMIF(C4:F4,"&gt;0",C4:F4)</f>
        <v>0.18055555555555555</v>
      </c>
      <c r="I4" s="119" t="str">
        <f>IF('Plan de acción 2024'!AK29="","",'Plan de acción 2024'!AK29)</f>
        <v>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v>
      </c>
      <c r="J4" s="119" t="str">
        <f>IF('Plan de acción 2024'!AM29="","",'Plan de acción 2024'!AM29)</f>
        <v>Tras revisar las evidencias del proceso, se ha observado que de los 9 contratos planificados, solo se concretaron 2, lo que indica un incumplimiento en el indicador respecto a lo planeado en el PAA. Sin embargo, es positivo notar que el proceso realizó 42 contratos de prestación de servicios como apoyo a la gestión. A pesar de este esfuerzo adicional, es importante mejorar el cumplimiento con los contratos originalmente planeados para asegurar una alineación con los objetivos del PAA. Se recomienda llevar  una revisión de los factores que impidieron la contratación, así como realizar una actualización al cronograma del Plan Anual de Adquisiones.</v>
      </c>
      <c r="K4" s="119" t="str">
        <f>IF('Plan de acción 2024'!AO29="","",'Plan de acción 2024'!AO29)</f>
        <v/>
      </c>
      <c r="L4" s="119" t="str">
        <f>IF('Plan de acción 2024'!AQ29="","",'Plan de acción 2024'!AQ29)</f>
        <v/>
      </c>
    </row>
    <row r="5" spans="2:12" ht="25.5" x14ac:dyDescent="0.2">
      <c r="B5" s="128" t="str">
        <f>+'Plan de acción 2024'!G30</f>
        <v>Publicar a los entes de control del SIA observa</v>
      </c>
      <c r="C5" s="129">
        <f>+'Plan de acción 2024'!V30</f>
        <v>0.25</v>
      </c>
      <c r="D5" s="129">
        <f>+'Plan de acción 2024'!Y30</f>
        <v>0.16666666666666666</v>
      </c>
      <c r="E5" s="129">
        <f>+'Plan de acción 2024'!AB30</f>
        <v>0</v>
      </c>
      <c r="F5" s="129">
        <f>+'Plan de acción 2024'!AE30</f>
        <v>0</v>
      </c>
      <c r="G5" s="129">
        <f>SUMIF(C5:F5,"&gt;0",C5:F5)</f>
        <v>0.41666666666666663</v>
      </c>
      <c r="I5" s="119" t="str">
        <f>IF('Plan de acción 2024'!AK30="","",'Plan de acción 2024'!AK30)</f>
        <v>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v>
      </c>
      <c r="J5" s="119" t="str">
        <f>IF('Plan de acción 2024'!AM30="","",'Plan de acción 2024'!AM30)</f>
        <v xml:space="preserve">De acuerdo con la revisión de las evidencias aportadas por el proceso, se evidencia que, en este trimestre, el proceso cumple con un 66.7% de ejecución del indicador. Esto se debe a que la cuenta rendida en el mes de mayo registró un retraso de 3 días. Se recomienda al proceso establecer alertas automáticas que permitan cumplir con los tiempos establecidos, ya que este tipo de retrasos podría ocasionar sanciones significativas para la entidad, afectando su desempeño y reputación. </v>
      </c>
      <c r="K5" s="119" t="str">
        <f>IF('Plan de acción 2024'!AO30="","",'Plan de acción 2024'!AO30)</f>
        <v/>
      </c>
      <c r="L5" s="119" t="str">
        <f>IF('Plan de acción 2024'!AQ30="","",'Plan de acción 2024'!AQ30)</f>
        <v/>
      </c>
    </row>
    <row r="6" spans="2:12" ht="25.5" x14ac:dyDescent="0.2">
      <c r="B6" s="128" t="str">
        <f>+'Plan de acción 2024'!G31</f>
        <v xml:space="preserve">Verificar el comportamiento  de los proveedores </v>
      </c>
      <c r="C6" s="129">
        <f>+'Plan de acción 2024'!V31</f>
        <v>0.16666666666666666</v>
      </c>
      <c r="D6" s="129">
        <f>+'Plan de acción 2024'!Y31</f>
        <v>0.16666666666666666</v>
      </c>
      <c r="E6" s="129">
        <f>+'Plan de acción 2024'!AB31</f>
        <v>0</v>
      </c>
      <c r="F6" s="129">
        <f>+'Plan de acción 2024'!AE31</f>
        <v>0</v>
      </c>
      <c r="G6" s="129">
        <f>SUMIF(C6:F6,"&gt;0",C6:F6)</f>
        <v>0.33333333333333331</v>
      </c>
      <c r="I6" s="119" t="str">
        <f>IF('Plan de acción 2024'!AK31="","",'Plan de acción 2024'!AK31)</f>
        <v>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v>
      </c>
      <c r="J6" s="119" t="str">
        <f>IF('Plan de acción 2024'!AM31="","",'Plan de acción 2024'!AM31)</f>
        <v>De acuerdo con las evidencias aportadas, se identifica que se han terminado tres contratos: 24-006, 24-015 y 24-0007. Dos de ellos cuentan con una calificación satisfactoria de proveedores, lo cual resulta en un cumplimiento del 66.7% del indicador. Sin embargo, no se evidencia calificación para el contrato 24-0007, por lo que se recomienda establecer alertas o recordatorios automáticos en el sistema para que los responsables completen las calificaciones antes de que finalice el periodo establecido, así como designar un responsable que supervise periódicamente el estado de los contratos.</v>
      </c>
      <c r="K6" s="119" t="str">
        <f>IF('Plan de acción 2024'!AO31="","",'Plan de acción 2024'!AO31)</f>
        <v/>
      </c>
      <c r="L6" s="119" t="str">
        <f>IF('Plan de acción 2024'!AQ31="","",'Plan de acción 2024'!AQ31)</f>
        <v/>
      </c>
    </row>
    <row r="7" spans="2:12" ht="15" x14ac:dyDescent="0.2">
      <c r="B7" s="114" t="s">
        <v>617</v>
      </c>
      <c r="C7" s="108">
        <f>+AVERAGE(C4:C6)</f>
        <v>0.18055555555555555</v>
      </c>
      <c r="D7" s="108">
        <f>+AVERAGE(D4:D6)</f>
        <v>0.12962962962962962</v>
      </c>
      <c r="E7" s="108">
        <f>+AVERAGE(E4:E6)</f>
        <v>0</v>
      </c>
      <c r="F7" s="108">
        <f>+AVERAGE(F4:F6)</f>
        <v>0</v>
      </c>
      <c r="G7" s="108">
        <f>+AVERAGE(G4:G6)</f>
        <v>0.31018518518518517</v>
      </c>
    </row>
  </sheetData>
  <mergeCells count="2">
    <mergeCell ref="B2:G2"/>
    <mergeCell ref="I2:L2"/>
  </mergeCell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zoomScale="90" zoomScaleNormal="90" workbookViewId="0">
      <selection activeCell="I4" sqref="I4"/>
    </sheetView>
  </sheetViews>
  <sheetFormatPr baseColWidth="10" defaultColWidth="10.85546875" defaultRowHeight="14.25" x14ac:dyDescent="0.2"/>
  <cols>
    <col min="1" max="1" width="10.85546875" style="90"/>
    <col min="2" max="2" width="38.42578125" style="90" customWidth="1"/>
    <col min="3" max="6" width="10.85546875" style="90"/>
    <col min="7" max="7" width="17" style="90" customWidth="1"/>
    <col min="8" max="8" width="6" style="90" customWidth="1"/>
    <col min="9" max="12" width="20.7109375" style="90" customWidth="1"/>
    <col min="13" max="16384" width="10.85546875" style="90"/>
  </cols>
  <sheetData>
    <row r="2" spans="2:12" ht="15" x14ac:dyDescent="0.25">
      <c r="B2" s="180" t="s">
        <v>627</v>
      </c>
      <c r="C2" s="180"/>
      <c r="D2" s="180"/>
      <c r="E2" s="180"/>
      <c r="F2" s="180"/>
      <c r="G2" s="180"/>
      <c r="I2" s="180" t="s">
        <v>606</v>
      </c>
      <c r="J2" s="180"/>
      <c r="K2" s="180"/>
      <c r="L2" s="180"/>
    </row>
    <row r="3" spans="2:12" ht="45" x14ac:dyDescent="0.2">
      <c r="B3" s="110" t="s">
        <v>607</v>
      </c>
      <c r="C3" s="110" t="s">
        <v>608</v>
      </c>
      <c r="D3" s="110" t="s">
        <v>609</v>
      </c>
      <c r="E3" s="110" t="s">
        <v>610</v>
      </c>
      <c r="F3" s="110" t="s">
        <v>611</v>
      </c>
      <c r="G3" s="110" t="s">
        <v>612</v>
      </c>
      <c r="I3" s="111" t="s">
        <v>613</v>
      </c>
      <c r="J3" s="111" t="s">
        <v>614</v>
      </c>
      <c r="K3" s="111" t="s">
        <v>615</v>
      </c>
      <c r="L3" s="111" t="s">
        <v>616</v>
      </c>
    </row>
    <row r="4" spans="2:12" ht="44.25" customHeight="1" x14ac:dyDescent="0.2">
      <c r="B4" s="130" t="str">
        <f>+'Plan de acción 2024'!G32</f>
        <v>Realizar mantenimiento preventivo a los equipos de cómputo, impresoras, scanner y equipo de la red de la entidad</v>
      </c>
      <c r="C4" s="131">
        <f>+'Plan de acción 2024'!V32</f>
        <v>0.1</v>
      </c>
      <c r="D4" s="129">
        <f>+'Plan de acción 2024'!Y32</f>
        <v>0.3</v>
      </c>
      <c r="E4" s="129">
        <f>+'Plan de acción 2024'!AB32</f>
        <v>0</v>
      </c>
      <c r="F4" s="129">
        <f>+'Plan de acción 2024'!AE32</f>
        <v>0</v>
      </c>
      <c r="G4" s="132">
        <f>SUMIF(C4:F4,"&gt;0",C4:F4)</f>
        <v>0.4</v>
      </c>
      <c r="I4" s="119" t="str">
        <f>IF('Plan de acción 2024'!AK32="","",'Plan de acción 2024'!AK32)</f>
        <v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v>
      </c>
      <c r="J4" s="119" t="str">
        <f>IF('Plan de acción 2024'!AM32="","",'Plan de acción 2024'!AM32)</f>
        <v>El proceso ha cumplido satisfactoriamente con el indicador establecido, evidenciándose la realización de mantenimiento preventivo a los equipos de las áreas de gerencia, jurídica, tesorería y sistemas. Estas acciones garantizan el correcto funcionamiento de los equipos y aseguran la continuidad operativa en estas áreas, contribuyendo a la eficiencia general de cada  proceso</v>
      </c>
      <c r="K4" s="119" t="str">
        <f>IF('Plan de acción 2024'!AO32="","",'Plan de acción 2024'!AO32)</f>
        <v/>
      </c>
      <c r="L4" s="119" t="str">
        <f>IF('Plan de acción 2024'!AQ32="","",'Plan de acción 2024'!AQ32)</f>
        <v/>
      </c>
    </row>
    <row r="5" spans="2:12" ht="51" x14ac:dyDescent="0.2">
      <c r="B5" s="130" t="str">
        <f>+'Plan de acción 2024'!G33</f>
        <v>Realizar mantenimiento correctivo cuando sea necesario  a los equipos de cómputo, impresoras, scanner y equipo de la red de la entidad, asi como soporte al usuario.</v>
      </c>
      <c r="C5" s="131">
        <f>+'Plan de acción 2024'!V33</f>
        <v>0.25</v>
      </c>
      <c r="D5" s="129">
        <f>+'Plan de acción 2024'!Y33</f>
        <v>0.25</v>
      </c>
      <c r="E5" s="129">
        <f>+'Plan de acción 2024'!AB33</f>
        <v>0</v>
      </c>
      <c r="F5" s="129">
        <f>+'Plan de acción 2024'!AE33</f>
        <v>0</v>
      </c>
      <c r="G5" s="132">
        <f>SUMIF(C5:F5,"&gt;0",C5:F5)</f>
        <v>0.5</v>
      </c>
      <c r="I5" s="119" t="str">
        <f>IF('Plan de acción 2024'!AK33="","",'Plan de acción 2024'!AK33)</f>
        <v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v>
      </c>
      <c r="J5" s="119" t="str">
        <f>IF('Plan de acción 2024'!AM33="","",'Plan de acción 2024'!AM33)</f>
        <v>Según las evidencias presentadas, se confirma que el proceso ha cumplido satisfactoriamente con el indicador establecido. El servicio de soporte a los usuarios fue atendido en tiempo, y se realizaron los mantenimientos necesarios en los equipos que presentaron fallas en sus sistemas. En total, se registraron 47 requerimientos a través del formato CSC-GI-FR-09. Se sugiere implementar medidas adicionales para revisar los tiempos de respuesta y evaluar la satisfacción de los usuarios con el servicio prestado, con el fin de asegurar una mejora continua en la calidad del soporte.</v>
      </c>
      <c r="K5" s="119" t="str">
        <f>IF('Plan de acción 2024'!AO33="","",'Plan de acción 2024'!AO33)</f>
        <v/>
      </c>
      <c r="L5" s="119" t="str">
        <f>IF('Plan de acción 2024'!AQ33="","",'Plan de acción 2024'!AQ33)</f>
        <v/>
      </c>
    </row>
    <row r="6" spans="2:12" ht="25.5" x14ac:dyDescent="0.2">
      <c r="B6" s="130" t="str">
        <f>+'Plan de acción 2024'!G34</f>
        <v xml:space="preserve">Adquirir los equipos tecnológicos requeridos por la entidad. </v>
      </c>
      <c r="C6" s="131">
        <f>+'Plan de acción 2024'!V34</f>
        <v>0.25</v>
      </c>
      <c r="D6" s="129">
        <f>+'Plan de acción 2024'!Y34</f>
        <v>0.25</v>
      </c>
      <c r="E6" s="129">
        <f>+'Plan de acción 2024'!AB34</f>
        <v>0</v>
      </c>
      <c r="F6" s="129">
        <f>+'Plan de acción 2024'!AE34</f>
        <v>0</v>
      </c>
      <c r="G6" s="132">
        <f>SUMIF(C6:F6,"&gt;0",C6:F6)</f>
        <v>0.5</v>
      </c>
      <c r="I6" s="119" t="str">
        <f>IF('Plan de acción 2024'!AK34="","",'Plan de acción 2024'!AK34)</f>
        <v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v>
      </c>
      <c r="J6" s="119" t="str">
        <f>IF('Plan de acción 2024'!AM34="","",'Plan de acción 2024'!AM34)</f>
        <v xml:space="preserve">El indicador relacionado con el alquiler de impresoras, scanners y adquisición de infraestructura tecnológica se cumplió satisfactoriamente durante el segundo trimestre. Esto se evidencia en el acta de inicio firmada el 27 de mayo en el marco del contrato 24-007, firmado entre Carlos Giovanny Parada, representante legal de la empresa Información Localizada S.A.S., y la CSC para la adquisición y soporte de G-SUITE para 100 cuentas. Aunque el indicador se ha cumplido para el segundo trimestre, es recomendable implementar un sistema de seguimiento que asegure que el soporte y las infraestructuras adquiridas sigan funcionando de manera óptima. </v>
      </c>
      <c r="K6" s="119" t="str">
        <f>IF('Plan de acción 2024'!AO34="","",'Plan de acción 2024'!AO34)</f>
        <v/>
      </c>
      <c r="L6" s="119" t="str">
        <f>IF('Plan de acción 2024'!AQ34="","",'Plan de acción 2024'!AQ34)</f>
        <v/>
      </c>
    </row>
    <row r="7" spans="2:12" ht="63.75" x14ac:dyDescent="0.2">
      <c r="B7" s="130" t="str">
        <f>+'Plan de acción 2024'!G35</f>
        <v xml:space="preserve">Publicación y seguimiento del Plan de Tratamiento de Riesgos de Seguridad y Privacidad de la Información, Plan de Seguridad y Privacidad de la Información y PETIC. </v>
      </c>
      <c r="C7" s="131">
        <f>+'Plan de acción 2024'!V35</f>
        <v>0.25</v>
      </c>
      <c r="D7" s="129">
        <f>+'Plan de acción 2024'!Y35</f>
        <v>0.22727272727272727</v>
      </c>
      <c r="E7" s="129">
        <f>+'Plan de acción 2024'!AB35</f>
        <v>0</v>
      </c>
      <c r="F7" s="129">
        <f>+'Plan de acción 2024'!AE35</f>
        <v>0</v>
      </c>
      <c r="G7" s="132">
        <f>SUMIF(C7:F7,"&gt;0",C7:F7)</f>
        <v>0.47727272727272729</v>
      </c>
      <c r="I7" s="119" t="str">
        <f>IF('Plan de acción 2024'!AK35="","",'Plan de acción 2024'!AK35)</f>
        <v>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v>
      </c>
      <c r="J7" s="119" t="str">
        <f>IF('Plan de acción 2024'!AM35="","",'Plan de acción 2024'!AM35)</f>
        <v>Durante este trimestre, se proyectó el desarrollo de 11 actividades dentro de los tres planes correspondientes al proceso. De estas, 10 actividades se llevaron a cabo con éxito, lo que representa un 90% de cumplimiento. Sin embargo, quedó pendiente una actividad clave en el plan de seguridad de la información, relacionada con la elaboración de un documento con la estrategia de planificación y control operacional. Por lo que se recomienda dar inicio en la ejecución de esta actividad y en mejorar la planificación y el monitoreo para evitar retrasos en el futuro</v>
      </c>
      <c r="K7" s="119" t="str">
        <f>IF('Plan de acción 2024'!AO35="","",'Plan de acción 2024'!AO35)</f>
        <v/>
      </c>
      <c r="L7" s="119" t="str">
        <f>IF('Plan de acción 2024'!AQ35="","",'Plan de acción 2024'!AQ35)</f>
        <v/>
      </c>
    </row>
    <row r="8" spans="2:12" ht="38.25" x14ac:dyDescent="0.2">
      <c r="B8" s="130" t="str">
        <f>+'Plan de acción 2024'!G36</f>
        <v>Actualización, publicación y seguimiento al Plan Institucional de Archivos de la Entidad  (PINAR).</v>
      </c>
      <c r="C8" s="131">
        <f>+'Plan de acción 2024'!V36</f>
        <v>0.25</v>
      </c>
      <c r="D8" s="129">
        <f>+'Plan de acción 2024'!Y36</f>
        <v>0.25</v>
      </c>
      <c r="E8" s="129">
        <f>+'Plan de acción 2024'!AB36</f>
        <v>0</v>
      </c>
      <c r="F8" s="129">
        <f>+'Plan de acción 2024'!AE36</f>
        <v>0</v>
      </c>
      <c r="G8" s="132">
        <f>SUMIF(C8:F8,"&gt;0",C8:F8)</f>
        <v>0.5</v>
      </c>
      <c r="I8" s="121" t="str">
        <f>IF('Plan de acción 2024'!AK36="","",'Plan de acción 2024'!AK36)</f>
        <v>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v>
      </c>
      <c r="J8" s="121" t="str">
        <f>IF('Plan de acción 2024'!AM36="","",'Plan de acción 2024'!AM36)</f>
        <v>Durante el segundo trimestre, el proceso actualizó el PINAR y completó con éxito las 6 actividades planificadas, logrando un cumplimiento satisfactorio del indicador y destacando un desempeño excelente. Sin embargo, se recomienda mejorar la calidad y precisión de las evidencias fotográficas relacionadas con la ampliación del espacio, incluyendo detalles como la fecha y la capacidad del nuevo espacio. Además, aunque los instrumentos archivísticos se socializaron con algunos funcionarios, es necesario actualizar estos documentos para garantizar que estén alineados con las necesidades actuales de la organización y las normativas vigentes.</v>
      </c>
      <c r="K8" s="121" t="str">
        <f>IF('Plan de acción 2024'!AO36="","",'Plan de acción 2024'!AO36)</f>
        <v/>
      </c>
      <c r="L8" s="121" t="str">
        <f>IF('Plan de acción 2024'!AQ36="","",'Plan de acción 2024'!AQ36)</f>
        <v/>
      </c>
    </row>
    <row r="9" spans="2:12" ht="15" x14ac:dyDescent="0.2">
      <c r="B9" s="114" t="s">
        <v>617</v>
      </c>
      <c r="C9" s="108">
        <f>+AVERAGE(C4:C8)</f>
        <v>0.22000000000000003</v>
      </c>
      <c r="D9" s="108">
        <f>+AVERAGE(D4:D8)</f>
        <v>0.25545454545454549</v>
      </c>
      <c r="E9" s="108">
        <f>+AVERAGE(E4:E8)</f>
        <v>0</v>
      </c>
      <c r="F9" s="108">
        <f>+AVERAGE(F4:F8)</f>
        <v>0</v>
      </c>
      <c r="G9" s="108">
        <f>+AVERAGE(G4:G8)</f>
        <v>0.47545454545454541</v>
      </c>
    </row>
  </sheetData>
  <mergeCells count="2">
    <mergeCell ref="B2:G2"/>
    <mergeCell ref="I2:L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acción 2024</vt:lpstr>
      <vt:lpstr>Cumplimiento 2024</vt:lpstr>
      <vt:lpstr>Direccionamiento Estrategico</vt:lpstr>
      <vt:lpstr>Atención al Cliente</vt:lpstr>
      <vt:lpstr>Bienestar</vt:lpstr>
      <vt:lpstr>Crédito</vt:lpstr>
      <vt:lpstr>Cartera</vt:lpstr>
      <vt:lpstr>Gestión Contractual</vt:lpstr>
      <vt:lpstr>Gestión de la Información</vt:lpstr>
      <vt:lpstr>Gestión de Recursos Físicos</vt:lpstr>
      <vt:lpstr>Gestión de Talento Humano</vt:lpstr>
      <vt:lpstr>Gestión Financiera</vt:lpstr>
      <vt:lpstr>Gestión Jurídica</vt:lpstr>
      <vt:lpstr>Gestion del Mejoramiento</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Vargas Rodriguez</dc:creator>
  <dc:description/>
  <cp:lastModifiedBy>Alejandra Vargas Rodriguez</cp:lastModifiedBy>
  <cp:revision>1</cp:revision>
  <cp:lastPrinted>2024-04-15T15:12:15Z</cp:lastPrinted>
  <dcterms:created xsi:type="dcterms:W3CDTF">2021-12-01T18:51:22Z</dcterms:created>
  <dcterms:modified xsi:type="dcterms:W3CDTF">2024-10-03T15:28:53Z</dcterms:modified>
  <dc:language>es-419</dc:language>
</cp:coreProperties>
</file>