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cbuitrago\Downloads\"/>
    </mc:Choice>
  </mc:AlternateContent>
  <xr:revisionPtr revIDLastSave="0" documentId="8_{F77DFB14-83CF-4B29-8BD1-0D8219BF9672}" xr6:coauthVersionLast="36" xr6:coauthVersionMax="36" xr10:uidLastSave="{00000000-0000-0000-0000-000000000000}"/>
  <bookViews>
    <workbookView xWindow="-120" yWindow="-120" windowWidth="29040" windowHeight="15840" tabRatio="500" xr2:uid="{00000000-000D-0000-FFFF-FFFF00000000}"/>
  </bookViews>
  <sheets>
    <sheet name="Plan de acción 2024" sheetId="1" r:id="rId1"/>
    <sheet name="Cumplimiento 2024" sheetId="2" r:id="rId2"/>
    <sheet name="Direccionamiento Estrategico" sheetId="3" r:id="rId3"/>
    <sheet name="Atención al Cliente" sheetId="4" r:id="rId4"/>
    <sheet name="Bienestar" sheetId="5" r:id="rId5"/>
    <sheet name="Crédito" sheetId="6" r:id="rId6"/>
    <sheet name="Cartera" sheetId="7" r:id="rId7"/>
    <sheet name="Gestión Contractual" sheetId="8" r:id="rId8"/>
    <sheet name="Gestión de la Información" sheetId="9" r:id="rId9"/>
    <sheet name="Gestión de Recursos Físicos" sheetId="10" r:id="rId10"/>
    <sheet name="Gestión de Talento Humano" sheetId="11" r:id="rId11"/>
    <sheet name="Gestión Financiera" sheetId="12" r:id="rId12"/>
    <sheet name="Gestión Jurídica" sheetId="13" r:id="rId13"/>
    <sheet name="Gestion del Mejoramiento" sheetId="14" r:id="rId14"/>
    <sheet name="GRAFICO" sheetId="15" r:id="rId15"/>
  </sheets>
  <calcPr calcId="191029"/>
</workbook>
</file>

<file path=xl/calcChain.xml><?xml version="1.0" encoding="utf-8"?>
<calcChain xmlns="http://schemas.openxmlformats.org/spreadsheetml/2006/main">
  <c r="D18" i="2" l="1"/>
  <c r="E18" i="2"/>
  <c r="F18" i="2"/>
  <c r="G18" i="2"/>
  <c r="H18" i="2"/>
  <c r="I18" i="2"/>
  <c r="J18" i="2"/>
  <c r="K18" i="2"/>
  <c r="L18" i="2"/>
  <c r="M18" i="2"/>
  <c r="C18" i="2"/>
  <c r="C7" i="2"/>
  <c r="D7" i="2"/>
  <c r="E7" i="2"/>
  <c r="F7" i="2"/>
  <c r="G7" i="2"/>
  <c r="H7" i="2"/>
  <c r="I7" i="2"/>
  <c r="J7" i="2"/>
  <c r="K7" i="2"/>
  <c r="L7" i="2"/>
  <c r="M7" i="2"/>
  <c r="C6" i="2"/>
  <c r="D6" i="2"/>
  <c r="E6" i="2"/>
  <c r="F6" i="2"/>
  <c r="G6" i="2"/>
  <c r="H6" i="2"/>
  <c r="I6" i="2"/>
  <c r="J6" i="2"/>
  <c r="K6" i="2"/>
  <c r="L6" i="2"/>
  <c r="M6" i="2"/>
  <c r="C5" i="2"/>
  <c r="D5" i="2"/>
  <c r="E5" i="2"/>
  <c r="F5" i="2"/>
  <c r="G5" i="2"/>
  <c r="H5" i="2"/>
  <c r="I5" i="2"/>
  <c r="J5" i="2"/>
  <c r="K5" i="2"/>
  <c r="L5" i="2"/>
  <c r="M5" i="2"/>
  <c r="C7" i="13"/>
  <c r="Y59" i="1"/>
  <c r="D10" i="12"/>
  <c r="E10" i="12"/>
  <c r="F10" i="12"/>
  <c r="C10" i="12"/>
  <c r="G4" i="11"/>
  <c r="G5" i="12"/>
  <c r="G4" i="12"/>
  <c r="G9" i="12"/>
  <c r="G8" i="12"/>
  <c r="F8" i="12"/>
  <c r="E8" i="12"/>
  <c r="D8" i="12"/>
  <c r="C8" i="12"/>
  <c r="F7" i="12"/>
  <c r="E7" i="12"/>
  <c r="D7" i="12"/>
  <c r="C7" i="12"/>
  <c r="C4" i="12"/>
  <c r="B9" i="12"/>
  <c r="B8" i="12"/>
  <c r="B7" i="12"/>
  <c r="B6" i="12"/>
  <c r="B5" i="12"/>
  <c r="B4" i="12"/>
  <c r="C6" i="10"/>
  <c r="F4" i="2"/>
  <c r="C7" i="5"/>
  <c r="E4" i="3"/>
  <c r="E6" i="3"/>
  <c r="E8" i="3"/>
  <c r="AE65" i="1"/>
  <c r="AE64" i="1"/>
  <c r="AE63" i="1"/>
  <c r="AE62" i="1"/>
  <c r="AE61" i="1"/>
  <c r="AE60" i="1"/>
  <c r="AE59" i="1"/>
  <c r="AE58" i="1"/>
  <c r="AE57" i="1"/>
  <c r="AE56" i="1"/>
  <c r="AE55" i="1"/>
  <c r="AE54" i="1"/>
  <c r="AE53" i="1"/>
  <c r="AE52" i="1"/>
  <c r="AE51" i="1"/>
  <c r="AE49"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C21" i="1"/>
  <c r="AE21" i="1" s="1"/>
  <c r="AE20" i="1"/>
  <c r="AE19" i="1"/>
  <c r="AE18" i="1"/>
  <c r="AE17" i="1"/>
  <c r="AD16" i="1"/>
  <c r="AC16" i="1"/>
  <c r="AE16" i="1" s="1"/>
  <c r="AE15" i="1"/>
  <c r="AD15" i="1"/>
  <c r="AC15" i="1"/>
  <c r="AE14" i="1"/>
  <c r="AE13" i="1"/>
  <c r="AE12" i="1"/>
  <c r="K5" i="6"/>
  <c r="K5" i="5"/>
  <c r="V18" i="1"/>
  <c r="Y18" i="1"/>
  <c r="AB18" i="1"/>
  <c r="Z16" i="1"/>
  <c r="Z15" i="1"/>
  <c r="G10" i="12" l="1"/>
  <c r="AF61" i="1"/>
  <c r="AF58" i="1" l="1"/>
  <c r="AB56" i="1" l="1"/>
  <c r="T16" i="1" l="1"/>
  <c r="T15" i="1"/>
  <c r="AB25" i="1"/>
  <c r="V25" i="1"/>
  <c r="Y25" i="1"/>
  <c r="V20" i="1" l="1"/>
  <c r="Y20" i="1"/>
  <c r="AB20" i="1"/>
  <c r="AF11" i="1" l="1"/>
  <c r="AB11" i="1"/>
  <c r="W15" i="1" l="1"/>
  <c r="Y61" i="1" l="1"/>
  <c r="AB59" i="1" l="1"/>
  <c r="E6" i="13" s="1"/>
  <c r="D6" i="13"/>
  <c r="V59" i="1"/>
  <c r="C6" i="13" s="1"/>
  <c r="F7" i="11"/>
  <c r="AB46" i="1"/>
  <c r="Y46" i="1"/>
  <c r="D7" i="11" s="1"/>
  <c r="V46" i="1"/>
  <c r="C7" i="11" s="1"/>
  <c r="V45" i="1"/>
  <c r="B16" i="15"/>
  <c r="B15" i="15"/>
  <c r="B14" i="15"/>
  <c r="B13" i="15"/>
  <c r="B12" i="15"/>
  <c r="B11" i="15"/>
  <c r="B10" i="15"/>
  <c r="B9" i="15"/>
  <c r="B8" i="15"/>
  <c r="B7" i="15"/>
  <c r="B6" i="15"/>
  <c r="L9" i="14"/>
  <c r="K9" i="14"/>
  <c r="J9" i="14"/>
  <c r="I9" i="14"/>
  <c r="B9" i="14"/>
  <c r="L8" i="14"/>
  <c r="K8" i="14"/>
  <c r="J8" i="14"/>
  <c r="I8" i="14"/>
  <c r="B8" i="14"/>
  <c r="L7" i="14"/>
  <c r="K7" i="14"/>
  <c r="J7" i="14"/>
  <c r="I7" i="14"/>
  <c r="B7" i="14"/>
  <c r="L6" i="14"/>
  <c r="K6" i="14"/>
  <c r="J6" i="14"/>
  <c r="I6" i="14"/>
  <c r="B6" i="14"/>
  <c r="L5" i="14"/>
  <c r="K5" i="14"/>
  <c r="J5" i="14"/>
  <c r="I5" i="14"/>
  <c r="F5" i="14"/>
  <c r="D5" i="14"/>
  <c r="B5" i="14"/>
  <c r="L4" i="14"/>
  <c r="K4" i="14"/>
  <c r="J4" i="14"/>
  <c r="I4" i="14"/>
  <c r="B4" i="14"/>
  <c r="L6" i="13"/>
  <c r="K6" i="13"/>
  <c r="J6" i="13"/>
  <c r="I6" i="13"/>
  <c r="F6" i="13"/>
  <c r="B6" i="13"/>
  <c r="L5" i="13"/>
  <c r="K5" i="13"/>
  <c r="J5" i="13"/>
  <c r="I5" i="13"/>
  <c r="F5" i="13"/>
  <c r="B5" i="13"/>
  <c r="L4" i="13"/>
  <c r="K4" i="13"/>
  <c r="J4" i="13"/>
  <c r="I4" i="13"/>
  <c r="B4" i="13"/>
  <c r="L9" i="12"/>
  <c r="K9" i="12"/>
  <c r="J9" i="12"/>
  <c r="I9" i="12"/>
  <c r="L7" i="12"/>
  <c r="K7" i="12"/>
  <c r="J7" i="12"/>
  <c r="I7" i="12"/>
  <c r="L6" i="12"/>
  <c r="K6" i="12"/>
  <c r="J6" i="12"/>
  <c r="I6" i="12"/>
  <c r="L5" i="12"/>
  <c r="K5" i="12"/>
  <c r="J5" i="12"/>
  <c r="I5" i="12"/>
  <c r="L4" i="12"/>
  <c r="K4" i="12"/>
  <c r="J4" i="12"/>
  <c r="I4" i="12"/>
  <c r="L11" i="11"/>
  <c r="K11" i="11"/>
  <c r="J11" i="11"/>
  <c r="I11" i="11"/>
  <c r="B11" i="11"/>
  <c r="L10" i="11"/>
  <c r="K10" i="11"/>
  <c r="J10" i="11"/>
  <c r="I10" i="11"/>
  <c r="B10" i="11"/>
  <c r="L9" i="11"/>
  <c r="K9" i="11"/>
  <c r="J9" i="11"/>
  <c r="I9" i="11"/>
  <c r="B9" i="11"/>
  <c r="L8" i="11"/>
  <c r="K8" i="11"/>
  <c r="J8" i="11"/>
  <c r="I8" i="11"/>
  <c r="B8" i="11"/>
  <c r="L7" i="11"/>
  <c r="K7" i="11"/>
  <c r="J7" i="11"/>
  <c r="I7" i="11"/>
  <c r="B7" i="11"/>
  <c r="L6" i="11"/>
  <c r="K6" i="11"/>
  <c r="J6" i="11"/>
  <c r="I6" i="11"/>
  <c r="B6" i="11"/>
  <c r="L5" i="11"/>
  <c r="K5" i="11"/>
  <c r="J5" i="11"/>
  <c r="I5" i="11"/>
  <c r="B5" i="11"/>
  <c r="L4" i="11"/>
  <c r="K4" i="11"/>
  <c r="J4" i="11"/>
  <c r="I4" i="11"/>
  <c r="C4" i="11"/>
  <c r="B4" i="11"/>
  <c r="L9" i="10"/>
  <c r="K9" i="10"/>
  <c r="J9" i="10"/>
  <c r="I9" i="10"/>
  <c r="B9" i="10"/>
  <c r="L8" i="10"/>
  <c r="K8" i="10"/>
  <c r="J8" i="10"/>
  <c r="I8" i="10"/>
  <c r="B8" i="10"/>
  <c r="L7" i="10"/>
  <c r="K7" i="10"/>
  <c r="J7" i="10"/>
  <c r="I7" i="10"/>
  <c r="B7" i="10"/>
  <c r="L6" i="10"/>
  <c r="K6" i="10"/>
  <c r="J6" i="10"/>
  <c r="I6" i="10"/>
  <c r="B6" i="10"/>
  <c r="L5" i="10"/>
  <c r="K5" i="10"/>
  <c r="J5" i="10"/>
  <c r="I5" i="10"/>
  <c r="B5" i="10"/>
  <c r="L4" i="10"/>
  <c r="K4" i="10"/>
  <c r="J4" i="10"/>
  <c r="I4" i="10"/>
  <c r="B4" i="10"/>
  <c r="L8" i="9"/>
  <c r="K8" i="9"/>
  <c r="J8" i="9"/>
  <c r="I8" i="9"/>
  <c r="B8" i="9"/>
  <c r="L7" i="9"/>
  <c r="K7" i="9"/>
  <c r="J7" i="9"/>
  <c r="I7" i="9"/>
  <c r="B7" i="9"/>
  <c r="L6" i="9"/>
  <c r="K6" i="9"/>
  <c r="J6" i="9"/>
  <c r="I6" i="9"/>
  <c r="B6" i="9"/>
  <c r="L5" i="9"/>
  <c r="K5" i="9"/>
  <c r="J5" i="9"/>
  <c r="I5" i="9"/>
  <c r="B5" i="9"/>
  <c r="L4" i="9"/>
  <c r="K4" i="9"/>
  <c r="J4" i="9"/>
  <c r="I4" i="9"/>
  <c r="B4" i="9"/>
  <c r="L6" i="8"/>
  <c r="K6" i="8"/>
  <c r="J6" i="8"/>
  <c r="I6" i="8"/>
  <c r="B6" i="8"/>
  <c r="L5" i="8"/>
  <c r="K5" i="8"/>
  <c r="J5" i="8"/>
  <c r="I5" i="8"/>
  <c r="B5" i="8"/>
  <c r="L4" i="8"/>
  <c r="K4" i="8"/>
  <c r="J4" i="8"/>
  <c r="I4" i="8"/>
  <c r="B4" i="8"/>
  <c r="L7" i="7"/>
  <c r="K7" i="7"/>
  <c r="J7" i="7"/>
  <c r="I7" i="7"/>
  <c r="B7" i="7"/>
  <c r="L6" i="7"/>
  <c r="K6" i="7"/>
  <c r="J6" i="7"/>
  <c r="I6" i="7"/>
  <c r="B6" i="7"/>
  <c r="L5" i="7"/>
  <c r="K5" i="7"/>
  <c r="J5" i="7"/>
  <c r="I5" i="7"/>
  <c r="B5" i="7"/>
  <c r="L4" i="7"/>
  <c r="K4" i="7"/>
  <c r="J4" i="7"/>
  <c r="I4" i="7"/>
  <c r="B4" i="7"/>
  <c r="L6" i="6"/>
  <c r="K6" i="6"/>
  <c r="J6" i="6"/>
  <c r="I6" i="6"/>
  <c r="B6" i="6"/>
  <c r="L5" i="6"/>
  <c r="J5" i="6"/>
  <c r="I5" i="6"/>
  <c r="B5" i="6"/>
  <c r="L4" i="6"/>
  <c r="K4" i="6"/>
  <c r="J4" i="6"/>
  <c r="I4" i="6"/>
  <c r="B4" i="6"/>
  <c r="L6" i="5"/>
  <c r="K6" i="5"/>
  <c r="J6" i="5"/>
  <c r="I6" i="5"/>
  <c r="B6" i="5"/>
  <c r="L5" i="5"/>
  <c r="J5" i="5"/>
  <c r="I5" i="5"/>
  <c r="B5" i="5"/>
  <c r="L4" i="5"/>
  <c r="K4" i="5"/>
  <c r="J4" i="5"/>
  <c r="I4" i="5"/>
  <c r="B4" i="5"/>
  <c r="L7" i="4"/>
  <c r="K7" i="4"/>
  <c r="J7" i="4"/>
  <c r="I7" i="4"/>
  <c r="B7" i="4"/>
  <c r="L6" i="4"/>
  <c r="K6" i="4"/>
  <c r="J6" i="4"/>
  <c r="I6" i="4"/>
  <c r="B6" i="4"/>
  <c r="L5" i="4"/>
  <c r="K5" i="4"/>
  <c r="J5" i="4"/>
  <c r="I5" i="4"/>
  <c r="B5" i="4"/>
  <c r="L4" i="4"/>
  <c r="K4" i="4"/>
  <c r="J4" i="4"/>
  <c r="I4" i="4"/>
  <c r="B4" i="4"/>
  <c r="L7" i="3"/>
  <c r="K7" i="3"/>
  <c r="J7" i="3"/>
  <c r="I7" i="3"/>
  <c r="B7" i="3"/>
  <c r="L6" i="3"/>
  <c r="K6" i="3"/>
  <c r="J6" i="3"/>
  <c r="I6" i="3"/>
  <c r="B6" i="3"/>
  <c r="L5" i="3"/>
  <c r="K5" i="3"/>
  <c r="J5" i="3"/>
  <c r="I5" i="3"/>
  <c r="B5" i="3"/>
  <c r="L4" i="3"/>
  <c r="K4" i="3"/>
  <c r="J4" i="3"/>
  <c r="I4" i="3"/>
  <c r="B4" i="3"/>
  <c r="F9" i="14"/>
  <c r="AB65" i="1"/>
  <c r="E9" i="14" s="1"/>
  <c r="Y65" i="1"/>
  <c r="D9" i="14" s="1"/>
  <c r="V65" i="1"/>
  <c r="C9" i="14" s="1"/>
  <c r="F8" i="14"/>
  <c r="AB64" i="1"/>
  <c r="E8" i="14" s="1"/>
  <c r="Y64" i="1"/>
  <c r="D8" i="14" s="1"/>
  <c r="V64" i="1"/>
  <c r="C8" i="14" s="1"/>
  <c r="F7" i="14"/>
  <c r="AB63" i="1"/>
  <c r="E7" i="14" s="1"/>
  <c r="Y63" i="1"/>
  <c r="D7" i="14" s="1"/>
  <c r="V63" i="1"/>
  <c r="C7" i="14" s="1"/>
  <c r="F6" i="14"/>
  <c r="AB62" i="1"/>
  <c r="E6" i="14" s="1"/>
  <c r="Y62" i="1"/>
  <c r="D6" i="14" s="1"/>
  <c r="V62" i="1"/>
  <c r="C6" i="14" s="1"/>
  <c r="F4" i="14"/>
  <c r="AB60" i="1"/>
  <c r="E4" i="14" s="1"/>
  <c r="Y60" i="1"/>
  <c r="D4" i="14" s="1"/>
  <c r="D10" i="14" s="1"/>
  <c r="V60" i="1"/>
  <c r="C4" i="14" s="1"/>
  <c r="Y58" i="1"/>
  <c r="D5" i="13" s="1"/>
  <c r="F4" i="13"/>
  <c r="AB57" i="1"/>
  <c r="E4" i="13" s="1"/>
  <c r="Y57" i="1"/>
  <c r="D4" i="13" s="1"/>
  <c r="V57" i="1"/>
  <c r="C4" i="13" s="1"/>
  <c r="E9" i="12"/>
  <c r="Y56" i="1"/>
  <c r="D9" i="12" s="1"/>
  <c r="V56" i="1"/>
  <c r="C9" i="12" s="1"/>
  <c r="AB55" i="1"/>
  <c r="Y55" i="1"/>
  <c r="V55" i="1"/>
  <c r="AB54" i="1"/>
  <c r="Y54" i="1"/>
  <c r="V54" i="1"/>
  <c r="F6" i="12"/>
  <c r="AB53" i="1"/>
  <c r="E6" i="12" s="1"/>
  <c r="Y53" i="1"/>
  <c r="D6" i="12" s="1"/>
  <c r="V53" i="1"/>
  <c r="C6" i="12" s="1"/>
  <c r="F5" i="12"/>
  <c r="AB52" i="1"/>
  <c r="E5" i="12" s="1"/>
  <c r="Y52" i="1"/>
  <c r="D5" i="12" s="1"/>
  <c r="V52" i="1"/>
  <c r="C5" i="12" s="1"/>
  <c r="F4" i="12"/>
  <c r="AB51" i="1"/>
  <c r="E4" i="12" s="1"/>
  <c r="Y51" i="1"/>
  <c r="D4" i="12" s="1"/>
  <c r="V51" i="1"/>
  <c r="AB50" i="1"/>
  <c r="E11" i="11" s="1"/>
  <c r="V50" i="1"/>
  <c r="C11" i="11" s="1"/>
  <c r="G11" i="11" s="1"/>
  <c r="F10" i="11"/>
  <c r="AB48" i="1"/>
  <c r="E9" i="11" s="1"/>
  <c r="Y48" i="1"/>
  <c r="D9" i="11" s="1"/>
  <c r="F8" i="11"/>
  <c r="AB47" i="1"/>
  <c r="E8" i="11" s="1"/>
  <c r="Y47" i="1"/>
  <c r="D8" i="11" s="1"/>
  <c r="V47" i="1"/>
  <c r="C8" i="11" s="1"/>
  <c r="E7" i="11"/>
  <c r="F6" i="11"/>
  <c r="AB45" i="1"/>
  <c r="E6" i="11" s="1"/>
  <c r="Y45" i="1"/>
  <c r="D6" i="11" s="1"/>
  <c r="C6" i="11"/>
  <c r="F5" i="11"/>
  <c r="AB44" i="1"/>
  <c r="E5" i="11" s="1"/>
  <c r="Y44" i="1"/>
  <c r="D5" i="11" s="1"/>
  <c r="V44" i="1"/>
  <c r="C5" i="11" s="1"/>
  <c r="F4" i="11"/>
  <c r="AB43" i="1"/>
  <c r="E4" i="11" s="1"/>
  <c r="Y43" i="1"/>
  <c r="D4" i="11" s="1"/>
  <c r="F9" i="10"/>
  <c r="AB42" i="1"/>
  <c r="E9" i="10" s="1"/>
  <c r="Y42" i="1"/>
  <c r="D9" i="10" s="1"/>
  <c r="V42" i="1"/>
  <c r="C9" i="10" s="1"/>
  <c r="F8" i="10"/>
  <c r="AB41" i="1"/>
  <c r="E8" i="10" s="1"/>
  <c r="Y41" i="1"/>
  <c r="D8" i="10" s="1"/>
  <c r="V41" i="1"/>
  <c r="C8" i="10" s="1"/>
  <c r="F7" i="10"/>
  <c r="Y40" i="1"/>
  <c r="D7" i="10" s="1"/>
  <c r="F6" i="10"/>
  <c r="AB39" i="1"/>
  <c r="E6" i="10" s="1"/>
  <c r="Y39" i="1"/>
  <c r="D6" i="10" s="1"/>
  <c r="V39" i="1"/>
  <c r="F5" i="10"/>
  <c r="Y38" i="1"/>
  <c r="D5" i="10" s="1"/>
  <c r="F4" i="10"/>
  <c r="AB37" i="1"/>
  <c r="E4" i="10" s="1"/>
  <c r="Y37" i="1"/>
  <c r="D4" i="10" s="1"/>
  <c r="F8" i="9"/>
  <c r="AB36" i="1"/>
  <c r="E8" i="9" s="1"/>
  <c r="Y36" i="1"/>
  <c r="D8" i="9" s="1"/>
  <c r="V36" i="1"/>
  <c r="C8" i="9" s="1"/>
  <c r="F7" i="9"/>
  <c r="AB35" i="1"/>
  <c r="E7" i="9" s="1"/>
  <c r="Y35" i="1"/>
  <c r="D7" i="9" s="1"/>
  <c r="V35" i="1"/>
  <c r="C7" i="9" s="1"/>
  <c r="F6" i="9"/>
  <c r="AB34" i="1"/>
  <c r="E6" i="9" s="1"/>
  <c r="Y34" i="1"/>
  <c r="D6" i="9" s="1"/>
  <c r="V34" i="1"/>
  <c r="C6" i="9" s="1"/>
  <c r="F5" i="9"/>
  <c r="AB33" i="1"/>
  <c r="E5" i="9" s="1"/>
  <c r="Y33" i="1"/>
  <c r="D5" i="9" s="1"/>
  <c r="V33" i="1"/>
  <c r="C5" i="9" s="1"/>
  <c r="F4" i="9"/>
  <c r="AB32" i="1"/>
  <c r="E4" i="9" s="1"/>
  <c r="Y32" i="1"/>
  <c r="D4" i="9" s="1"/>
  <c r="V32" i="1"/>
  <c r="C4" i="9" s="1"/>
  <c r="F6" i="8"/>
  <c r="AB31" i="1"/>
  <c r="E6" i="8" s="1"/>
  <c r="Y31" i="1"/>
  <c r="D6" i="8" s="1"/>
  <c r="V31" i="1"/>
  <c r="C6" i="8" s="1"/>
  <c r="F5" i="8"/>
  <c r="AB30" i="1"/>
  <c r="E5" i="8" s="1"/>
  <c r="Y30" i="1"/>
  <c r="D5" i="8" s="1"/>
  <c r="V30" i="1"/>
  <c r="C5" i="8" s="1"/>
  <c r="F4" i="8"/>
  <c r="AB29" i="1"/>
  <c r="E4" i="8" s="1"/>
  <c r="Y29" i="1"/>
  <c r="D4" i="8" s="1"/>
  <c r="V29" i="1"/>
  <c r="C4" i="8" s="1"/>
  <c r="F7" i="7"/>
  <c r="AB28" i="1"/>
  <c r="E7" i="7" s="1"/>
  <c r="Y28" i="1"/>
  <c r="D7" i="7" s="1"/>
  <c r="V28" i="1"/>
  <c r="C7" i="7" s="1"/>
  <c r="F6" i="7"/>
  <c r="AB27" i="1"/>
  <c r="E6" i="7" s="1"/>
  <c r="Y27" i="1"/>
  <c r="D6" i="7" s="1"/>
  <c r="V27" i="1"/>
  <c r="C6" i="7" s="1"/>
  <c r="F5" i="7"/>
  <c r="AB26" i="1"/>
  <c r="E5" i="7" s="1"/>
  <c r="Y26" i="1"/>
  <c r="D5" i="7" s="1"/>
  <c r="V26" i="1"/>
  <c r="C5" i="7" s="1"/>
  <c r="F4" i="7"/>
  <c r="E4" i="7"/>
  <c r="D4" i="7"/>
  <c r="D8" i="7" s="1"/>
  <c r="C4" i="7"/>
  <c r="F6" i="6"/>
  <c r="AB24" i="1"/>
  <c r="E6" i="6" s="1"/>
  <c r="Y24" i="1"/>
  <c r="D6" i="6" s="1"/>
  <c r="V24" i="1"/>
  <c r="C6" i="6" s="1"/>
  <c r="F5" i="6"/>
  <c r="AB23" i="1"/>
  <c r="E5" i="6" s="1"/>
  <c r="Y23" i="1"/>
  <c r="D5" i="6" s="1"/>
  <c r="V23" i="1"/>
  <c r="C5" i="6" s="1"/>
  <c r="F4" i="6"/>
  <c r="AB22" i="1"/>
  <c r="E4" i="6" s="1"/>
  <c r="Y22" i="1"/>
  <c r="D4" i="6" s="1"/>
  <c r="D7" i="6" s="1"/>
  <c r="V22" i="1"/>
  <c r="C4" i="6" s="1"/>
  <c r="F6" i="5"/>
  <c r="Y21" i="1"/>
  <c r="D6" i="5" s="1"/>
  <c r="F5" i="5"/>
  <c r="E5" i="5"/>
  <c r="D5" i="5"/>
  <c r="C5" i="5"/>
  <c r="F4" i="5"/>
  <c r="AB19" i="1"/>
  <c r="E4" i="5" s="1"/>
  <c r="Y19" i="1"/>
  <c r="D4" i="5" s="1"/>
  <c r="U19" i="1"/>
  <c r="V19" i="1" s="1"/>
  <c r="F7" i="4"/>
  <c r="E7" i="4"/>
  <c r="D7" i="4"/>
  <c r="C7" i="4"/>
  <c r="F6" i="4"/>
  <c r="AB17" i="1"/>
  <c r="E6" i="4" s="1"/>
  <c r="Y17" i="1"/>
  <c r="D6" i="4" s="1"/>
  <c r="V17" i="1"/>
  <c r="C6" i="4" s="1"/>
  <c r="F5" i="4"/>
  <c r="AA16" i="1"/>
  <c r="AB16" i="1" s="1"/>
  <c r="E5" i="4" s="1"/>
  <c r="Y16" i="1"/>
  <c r="D5" i="4" s="1"/>
  <c r="X16" i="1"/>
  <c r="U16" i="1"/>
  <c r="V16" i="1"/>
  <c r="F4" i="4"/>
  <c r="AA15" i="1"/>
  <c r="AB15" i="1" s="1"/>
  <c r="E4" i="4" s="1"/>
  <c r="X15" i="1"/>
  <c r="Y15" i="1" s="1"/>
  <c r="D4" i="4" s="1"/>
  <c r="V15" i="1"/>
  <c r="C4" i="4" s="1"/>
  <c r="U15" i="1"/>
  <c r="F7" i="3"/>
  <c r="AB14" i="1"/>
  <c r="E7" i="3" s="1"/>
  <c r="Y14" i="1"/>
  <c r="D7" i="3" s="1"/>
  <c r="V14" i="1"/>
  <c r="C7" i="3" s="1"/>
  <c r="F6" i="3"/>
  <c r="AB13" i="1"/>
  <c r="Y13" i="1"/>
  <c r="D6" i="3" s="1"/>
  <c r="V13" i="1"/>
  <c r="C6" i="3" s="1"/>
  <c r="F5" i="3"/>
  <c r="AB12" i="1"/>
  <c r="E5" i="3" s="1"/>
  <c r="Y12" i="1"/>
  <c r="D5" i="3" s="1"/>
  <c r="V12" i="1"/>
  <c r="C5" i="3" s="1"/>
  <c r="G6" i="14" l="1"/>
  <c r="F9" i="12"/>
  <c r="AF56" i="1"/>
  <c r="G7" i="7"/>
  <c r="G6" i="3"/>
  <c r="F8" i="4"/>
  <c r="AF49" i="1"/>
  <c r="F7" i="13"/>
  <c r="E7" i="13"/>
  <c r="AF38" i="1"/>
  <c r="AF37" i="1"/>
  <c r="G8" i="9"/>
  <c r="E8" i="7"/>
  <c r="F8" i="7"/>
  <c r="F7" i="5"/>
  <c r="G5" i="14"/>
  <c r="G6" i="13"/>
  <c r="D7" i="13"/>
  <c r="D8" i="4"/>
  <c r="AF59" i="1"/>
  <c r="AF54" i="1"/>
  <c r="E12" i="11"/>
  <c r="AF40" i="1"/>
  <c r="D9" i="9"/>
  <c r="D7" i="8"/>
  <c r="E8" i="4"/>
  <c r="C4" i="5"/>
  <c r="AF19" i="1"/>
  <c r="C5" i="4"/>
  <c r="G5" i="4" s="1"/>
  <c r="AF16" i="1"/>
  <c r="G7" i="3"/>
  <c r="AF14" i="1"/>
  <c r="E7" i="6"/>
  <c r="G5" i="6"/>
  <c r="AF23" i="1"/>
  <c r="G6" i="7"/>
  <c r="AF27" i="1"/>
  <c r="E7" i="8"/>
  <c r="G5" i="8"/>
  <c r="AF30" i="1"/>
  <c r="E9" i="9"/>
  <c r="G5" i="9"/>
  <c r="AF33" i="1"/>
  <c r="D10" i="10"/>
  <c r="G6" i="10"/>
  <c r="AF39" i="1"/>
  <c r="G8" i="10"/>
  <c r="AF41" i="1"/>
  <c r="F12" i="11"/>
  <c r="G6" i="11"/>
  <c r="AF45" i="1"/>
  <c r="G7" i="12"/>
  <c r="AF55" i="1"/>
  <c r="AF62" i="1"/>
  <c r="F8" i="3"/>
  <c r="AF13" i="1"/>
  <c r="C8" i="3"/>
  <c r="C4" i="2" s="1"/>
  <c r="G5" i="3"/>
  <c r="AF12" i="1"/>
  <c r="AF15" i="1"/>
  <c r="G6" i="4"/>
  <c r="AF17" i="1"/>
  <c r="D7" i="5"/>
  <c r="AF21" i="1"/>
  <c r="F7" i="6"/>
  <c r="G6" i="6"/>
  <c r="AF24" i="1"/>
  <c r="AF28" i="1"/>
  <c r="F7" i="8"/>
  <c r="G6" i="8"/>
  <c r="AF31" i="1"/>
  <c r="F9" i="9"/>
  <c r="G6" i="9"/>
  <c r="AF34" i="1"/>
  <c r="E10" i="10"/>
  <c r="G9" i="10"/>
  <c r="AF42" i="1"/>
  <c r="AF43" i="1"/>
  <c r="AF46" i="1"/>
  <c r="AF48" i="1"/>
  <c r="AF52" i="1"/>
  <c r="E10" i="14"/>
  <c r="G7" i="14"/>
  <c r="AF63" i="1"/>
  <c r="G4" i="10"/>
  <c r="G10" i="11"/>
  <c r="C8" i="4"/>
  <c r="D4" i="2" s="1"/>
  <c r="G4" i="4"/>
  <c r="G7" i="4"/>
  <c r="AF18" i="1"/>
  <c r="E7" i="5"/>
  <c r="G5" i="5"/>
  <c r="AF20" i="1"/>
  <c r="C7" i="6"/>
  <c r="G4" i="6"/>
  <c r="AF22" i="1"/>
  <c r="G4" i="7"/>
  <c r="C8" i="7"/>
  <c r="AF25" i="1"/>
  <c r="C7" i="8"/>
  <c r="G4" i="2" s="1"/>
  <c r="G4" i="8"/>
  <c r="AF29" i="1"/>
  <c r="G4" i="9"/>
  <c r="C9" i="9"/>
  <c r="H4" i="2" s="1"/>
  <c r="AF32" i="1"/>
  <c r="G7" i="9"/>
  <c r="AF35" i="1"/>
  <c r="F10" i="10"/>
  <c r="D12" i="11"/>
  <c r="G7" i="11"/>
  <c r="G8" i="11"/>
  <c r="AF47" i="1"/>
  <c r="AF50" i="1"/>
  <c r="G6" i="12"/>
  <c r="AF53" i="1"/>
  <c r="G4" i="13"/>
  <c r="L4" i="2"/>
  <c r="L8" i="2" s="1"/>
  <c r="AF57" i="1"/>
  <c r="F10" i="14"/>
  <c r="G8" i="14"/>
  <c r="AF64" i="1"/>
  <c r="D8" i="3"/>
  <c r="G9" i="11"/>
  <c r="G5" i="13"/>
  <c r="G5" i="7"/>
  <c r="AF26" i="1"/>
  <c r="AF36" i="1"/>
  <c r="C12" i="11"/>
  <c r="J4" i="2" s="1"/>
  <c r="G5" i="11"/>
  <c r="AF44" i="1"/>
  <c r="K4" i="2"/>
  <c r="AF51" i="1"/>
  <c r="G4" i="14"/>
  <c r="C10" i="14"/>
  <c r="M4" i="2" s="1"/>
  <c r="AF60" i="1"/>
  <c r="G9" i="14"/>
  <c r="AF65" i="1"/>
  <c r="G6" i="5"/>
  <c r="G5" i="10"/>
  <c r="G7" i="10"/>
  <c r="C10" i="10"/>
  <c r="I4" i="2" s="1"/>
  <c r="AG57" i="1" l="1"/>
  <c r="AG11" i="1"/>
  <c r="AG19" i="1"/>
  <c r="AG22" i="1"/>
  <c r="M8" i="2"/>
  <c r="C16" i="15" s="1"/>
  <c r="G7" i="13"/>
  <c r="C15" i="15"/>
  <c r="AG51" i="1"/>
  <c r="AG43" i="1"/>
  <c r="AG32" i="1"/>
  <c r="H8" i="2"/>
  <c r="C11" i="15" s="1"/>
  <c r="AG29" i="1"/>
  <c r="F8" i="2"/>
  <c r="C9" i="15" s="1"/>
  <c r="G8" i="7"/>
  <c r="G7" i="6"/>
  <c r="G8" i="3"/>
  <c r="D8" i="2"/>
  <c r="C7" i="15" s="1"/>
  <c r="G8" i="4"/>
  <c r="K8" i="2"/>
  <c r="C14" i="15" s="1"/>
  <c r="AG37" i="1"/>
  <c r="I8" i="2"/>
  <c r="C12" i="15" s="1"/>
  <c r="G8" i="2"/>
  <c r="C10" i="15" s="1"/>
  <c r="G7" i="8"/>
  <c r="G10" i="14"/>
  <c r="C8" i="2"/>
  <c r="G9" i="9"/>
  <c r="AG15" i="1"/>
  <c r="AG60" i="1"/>
  <c r="J8" i="2"/>
  <c r="C13" i="15" s="1"/>
  <c r="G12" i="11"/>
  <c r="E4" i="2"/>
  <c r="E8" i="2" s="1"/>
  <c r="C8" i="15" s="1"/>
  <c r="G4" i="5"/>
  <c r="G7" i="5" s="1"/>
  <c r="G10" i="10"/>
  <c r="N4" i="2" l="1"/>
  <c r="C6" i="15"/>
</calcChain>
</file>

<file path=xl/sharedStrings.xml><?xml version="1.0" encoding="utf-8"?>
<sst xmlns="http://schemas.openxmlformats.org/spreadsheetml/2006/main" count="1627" uniqueCount="914">
  <si>
    <t>Proceso Estrategico
Direccionamiento Estrategico</t>
  </si>
  <si>
    <t xml:space="preserve">Código: CSC-DE-FR-06		</t>
  </si>
  <si>
    <t>Versión: 03</t>
  </si>
  <si>
    <t>Plan de Acción</t>
  </si>
  <si>
    <t>Fecha: Mayo 30 de 2023</t>
  </si>
  <si>
    <t>Vigencia:</t>
  </si>
  <si>
    <t>PLAN DE DESARROLLO</t>
  </si>
  <si>
    <t>OBJETIVO ESTRATÉGICO INSTITUCIONAL</t>
  </si>
  <si>
    <t xml:space="preserve">SEGUIMIENTO </t>
  </si>
  <si>
    <t>Responsable:</t>
  </si>
  <si>
    <t>Equipo de Planeación</t>
  </si>
  <si>
    <t>GOBERNANDO: MÁS QUE UN PLAN!</t>
  </si>
  <si>
    <t>Establecer lineas de acción a corto, mediano y largo plazo que permitan cumplir con los compromisos y objetivos de la Entidad.</t>
  </si>
  <si>
    <t>2024</t>
  </si>
  <si>
    <t>INDICADORES</t>
  </si>
  <si>
    <t>FRECUENCIA</t>
  </si>
  <si>
    <t>MEDICIÓN 
TRIMESTRE I</t>
  </si>
  <si>
    <t>MEDICIÓN 
TRIMESTRE II</t>
  </si>
  <si>
    <t>MEDICIÓN 
TRIMESTRE III</t>
  </si>
  <si>
    <t>MEDICIÓN 
TRIMESTRE IV</t>
  </si>
  <si>
    <t>ITEM</t>
  </si>
  <si>
    <t>RELACIÓN CON LA POLÍTICA DE CALIDAD</t>
  </si>
  <si>
    <t>OBJETIVO DE CALIDAD</t>
  </si>
  <si>
    <t>PROCESO AL QUE PERTENENCE EN LA ENTIDAD</t>
  </si>
  <si>
    <t>RESPONSABLE</t>
  </si>
  <si>
    <t>DEPENDENCIA(S) ASOCIADA(S)</t>
  </si>
  <si>
    <t>ACTIVIDAD</t>
  </si>
  <si>
    <t>NOMBRE DEL INDICADOR</t>
  </si>
  <si>
    <t>PROPÓSITO DEL INDICADOR</t>
  </si>
  <si>
    <t>FÓRMULA</t>
  </si>
  <si>
    <t>UNIDAD DE MEDIDA</t>
  </si>
  <si>
    <t>TIPO DE INDICADOR</t>
  </si>
  <si>
    <t>LÍNEA BASE (PUNTO  DE PARTIDA)</t>
  </si>
  <si>
    <t>REFERENCIA PARA DEFINICIÓN DE LÍNEA BASE</t>
  </si>
  <si>
    <t>META 
(Qué se pretende lograr?)</t>
  </si>
  <si>
    <t>PONDERACIÓN DENTRO DEL PROCESO</t>
  </si>
  <si>
    <t>Cuándo se mide</t>
  </si>
  <si>
    <t>Cuándo inicia</t>
  </si>
  <si>
    <t>Cuándo finaliza</t>
  </si>
  <si>
    <t>EJECUTADO</t>
  </si>
  <si>
    <t>PROGRAMADO</t>
  </si>
  <si>
    <t>%CUMPLIMIENTO (1)</t>
  </si>
  <si>
    <t>%CUMPLIMIENTO (2)</t>
  </si>
  <si>
    <t>%CUMPLIMIENTO (3)</t>
  </si>
  <si>
    <t>%CUMPLIMIENTO (4)</t>
  </si>
  <si>
    <t>PORCENTAJE  DE CUMPLIMIENTO ACUMULADO (Total acumulado *100 / Meta).</t>
  </si>
  <si>
    <t>PORCENTAJE POR DEPENDENCIAS</t>
  </si>
  <si>
    <t>DIMENSIÓN DE MIPG</t>
  </si>
  <si>
    <t>POLITÍCA DE LA DIMENSIÓN</t>
  </si>
  <si>
    <t>OBSERVACIONES 1ER. TRIMESTRE (Cada Proceso)</t>
  </si>
  <si>
    <t>OBSERVACIONES 1ER. TRIMESTRE (Planeación)</t>
  </si>
  <si>
    <t>OBSERVACIONES 2DO. TRIMESTRE (Cada Proceso)</t>
  </si>
  <si>
    <t>OBSERVACIONES 2DO. TRIMESTRE (Planeación)</t>
  </si>
  <si>
    <t>OBSERVACIONES 3ER. TRIMESTRE (Cada Proceso)</t>
  </si>
  <si>
    <t>OBSERVACIONES 3ER. TRIMESTRE (Planeación)</t>
  </si>
  <si>
    <t>OBSERVACIONES 4TO.  TRIMESTRE (Cada Proceso)</t>
  </si>
  <si>
    <t>OBSERVACIONES 4TO.  TRIMESTRE (Planeación)</t>
  </si>
  <si>
    <t>Mejora el Sistema de Gestión de
Calidad y asegura su integración con el Modelo Integrado de Planeación y
Gestión.</t>
  </si>
  <si>
    <t>Generar acciones de mejora continua para optimizar los procesos</t>
  </si>
  <si>
    <t>ESTRATÉGICO
Direccionamiento Estratégico</t>
  </si>
  <si>
    <t>Asesor de Gerencia 
(Grupo de Planeación)</t>
  </si>
  <si>
    <t>Gerencia
Planeación</t>
  </si>
  <si>
    <t>Seguimiento y consolidación del Formulario Único de Reporte de Avances de la Gestión "FURAG" y evaluación del Modelo Integrado de Planeación y Gestión  "MIPG"</t>
  </si>
  <si>
    <t>Porcentaje de calificación a MIPG por medio del FURAG (Función Pública)</t>
  </si>
  <si>
    <t>Evaluar el nivel de avance en el Modelo Integrado de Planeación y Gestión de la CSC</t>
  </si>
  <si>
    <t>Resultado total de la evaluación de MIPG a través del FURAG mayor a 90%</t>
  </si>
  <si>
    <t>Porcentaje</t>
  </si>
  <si>
    <t>Eficacia</t>
  </si>
  <si>
    <t>Resultados FURAG 2022</t>
  </si>
  <si>
    <t>&gt; 90</t>
  </si>
  <si>
    <t>Anual</t>
  </si>
  <si>
    <t>N/A</t>
  </si>
  <si>
    <t>Direccionamiento estratégico y Planeación</t>
  </si>
  <si>
    <t>Planeación institucional</t>
  </si>
  <si>
    <t>Para el periodo que corresponde al primer trimestre de año 2024, a pesar, que el grupo de Planeación no tiene actividades programadas para este indicador, se efectuó seguimiento a la página de la Función Pública para verificar los lineamientos que se llevarían a cabo, con el fin de realizar el reporte de FURAG. Adicionalmente, personal asignado del área, participó en la capacitación que se llevó a cabo el día 13 de marzo, en donde recibieron instrucciones para realizar la inscripción de roles en el SIGEP II. Por otra parte, continúa periódico con el seguimiento en la página para verificar la fecha de apertura del cuestionario.</t>
  </si>
  <si>
    <t>Para el segundo trimestre, aunque no estaba prevista la medición de este indicador, se avanzó en el seguimiento para la presentación del informe. El 9 de abril se realizó una reunión de apertura ante el Comité Institucional de Gestión y Desempeño, donde se designaron líderes para cada política. Además, desde la oficina se brindó acompañamiento y asesoría en la resolución de preguntas y la presentación de evidencias. Posteriormente, el 10 de mayo, se presentó el reporte de la matriz FURAG de toda la entidad.</t>
  </si>
  <si>
    <t>Seguimiento a los 12 planes del Decreto 612 de 2018</t>
  </si>
  <si>
    <t>Seguimiento al cronograma de actividades de los 12 planes del Decreto 612 de 2018</t>
  </si>
  <si>
    <t>Realizar el seguimiento al avance de actividades propuestas en los planes</t>
  </si>
  <si>
    <t xml:space="preserve">Número de informes de seguimiento realizados a los Planes del Decreto 612 de 2018 / Total de informes de seguimiento programado a los Planes del Decreto 612 de 2018 </t>
  </si>
  <si>
    <t>Cantidad</t>
  </si>
  <si>
    <t>Año 2023</t>
  </si>
  <si>
    <t>trimestral</t>
  </si>
  <si>
    <t>Durante el primer trimestre de 2024, los Planes Institucionales fueron revisados y consolidados con el propósito de garantizar su coherencia y alineación con los objetivos estratégicos. Estos planes fueron presentados ante el Comité Institucional de Gestión de Desempeño para su aprobación y posterior publicación en la pagina web antes del 31 de enero. Posteriormente, el equipo de planeación realizó un acompañamiento constante a los procesos responsables de la implementación de los planes, enfocándose principalmente en la actualización de los cronogramas. Esto aseguró que todas las actividades programadas estuvieran alineadas con los tiempos estipulados. Los planes pueden ser consultados en el siguiente enlace  link: https://csc.gov.co/transparencia/ Se anexan como evidencias en la Ruta de la Calidad, algunas actas de reuniones con los procesos.</t>
  </si>
  <si>
    <t>Durante el segundo trimestre de 2024, la oficina de Planeación realizó seguimientos a las actividades propuestas en los planes, cumpliendo satisfactoriamente con el indicador. En estos seguimientos se evidenciaron avances significativos en la mayoría de los planes. Sin embargo, algunos, como Anticorrupción (20%), Previsión de RRHH (13%), Plan Anual de Adquisiciones (23%) y Capacitaciones (25%), presentan ejecuciones por debajo del 30%. Por ello, se ofrecerá acompañamiento a estas áreas para asegurar el cumplimiento de las actividades pendientes.</t>
  </si>
  <si>
    <t>Mejora el Sistema de Gestión de
Calidad y asegura si integración con el Modelo Integrado de Planeación y
Gestión,</t>
  </si>
  <si>
    <t>Seguimiento y publicación del plan de acción de la Corporación Social de Cundinamarca</t>
  </si>
  <si>
    <t>Efectividad al seguimiento del plan de acción</t>
  </si>
  <si>
    <t>Realizar el seguimiento, evaluación y publicación del Plan de acción CSC</t>
  </si>
  <si>
    <t xml:space="preserve">Número de seguimientos, evaluación y publicación del Plan de acción / Número de trimestres en el año </t>
  </si>
  <si>
    <t>Efectividad</t>
  </si>
  <si>
    <t>Trimestral</t>
  </si>
  <si>
    <t>Durante el primer trimestre se llevó a cabo el seguimiento a los indicadores del Plan de acción de los diferentes procesos mostrando un avance del 21.37% en toda la ejecución del plan.</t>
  </si>
  <si>
    <t>Seguimiento y actualización al Sistema Único de Información de trámites -SUIT</t>
  </si>
  <si>
    <t>Seguimiento y actualización al Sistema de trámites de CSC en la Plataforma de la Función Pública</t>
  </si>
  <si>
    <t>Realizar el seguimiento y actualización al Sistema de trámites de CSC</t>
  </si>
  <si>
    <t>Seguimientos programados por la Función pública a los trámites de la CSC / los programados</t>
  </si>
  <si>
    <t>Durante el primer trimestre de 2024, se realizó un seguimiento en la plataforma SUIT (Sistema Único de Información de Trámites) evidenciándose que todos los trámites inscritos están completamente actualizados. Además, la estrategia de racionalización correspondiente al año 2023 se encuentra con los respectivos monitoreos y evaluaciones. Se actualizaron los datos de operación para cada trámite inscrito. Por otro lado, se proyecta que para el próximo seguimiento se podrá plantear una nueva estrategia de racionalización con la nueva administración.</t>
  </si>
  <si>
    <t>Durante el segundo trimestre, se llevó a cabo el seguimiento en la plataforma SUIT, logrando el cumplimiento del indicador. Se desarrolló una estrategia de racionalización para los tres trámites registrados, y se continuará con el seguimiento necesario a los procesos misionales  para garantizar su correcta ejecución.</t>
  </si>
  <si>
    <t>Aumentar la felicidad y satisfacción en la prestación del servicio a los
afiliados</t>
  </si>
  <si>
    <t>Incrementar la satisfacción y fidelización de nuestros afiliados</t>
  </si>
  <si>
    <t>MISIONAL
 Atención al Cliente</t>
  </si>
  <si>
    <t>Jefe Oficina de Prensa y Atención Cliente</t>
  </si>
  <si>
    <t>Oficina de Prensa y Atención al Cliente</t>
  </si>
  <si>
    <t xml:space="preserve">Atender las PQRSDF dentro de los términos legales. </t>
  </si>
  <si>
    <t>Porcentaje de respuesta oportuna a PQRSDF</t>
  </si>
  <si>
    <t>Estimar la capacidad de la CSC para atender las peticiones, quejas, reclamos, sugerencias, denuncias y felicitaciones dentro de los términos legales.</t>
  </si>
  <si>
    <t>(PQRSDF resueltas dentro del término / Total PQRSDF recibidas en el periodo) * 100</t>
  </si>
  <si>
    <t>Promedio de años anteriores</t>
  </si>
  <si>
    <t>Gestión con valores para resultados</t>
  </si>
  <si>
    <t>Servicio al cuidadano</t>
  </si>
  <si>
    <t>Para los meses de enero, febrero y marzo se recibieron 15 PQRSDF, de las cuales 13 se respondieron dentro del termino establecido, las cuales pertenecen a las áreas de cartera, jurídica y talento humano. por otra parte, otras 2 no se respondieron a tiempo debido a cambios de administración.
Correo: atencionalcliente@csc.gov.co
- Cartera y Créditos: Se respondieron 7 PQRSDF en término y ninguna fuera de término.
- Jurídica: Se respondieron 6 PQRSDF en término y 1 fuera de término.
- Talento Humano: No se respondieron PQRSDF en término y se respondió 1 fuera de término.</t>
  </si>
  <si>
    <t>Jefe Oficina de Prensa y atención cliente</t>
  </si>
  <si>
    <t xml:space="preserve">Medir la satisfacción del cliente externo, mínimo del 70% de la población atendida </t>
  </si>
  <si>
    <t>Porcentaje de satifacción de los clientes</t>
  </si>
  <si>
    <t>Medir la satisfacción de los clientes mínimo del 70% de la población atendida respecto de los servicios y/o productos ofrecidos por la CSC</t>
  </si>
  <si>
    <t xml:space="preserve">(Total de clientes satisfechos / total clientes encuestados )*100
</t>
  </si>
  <si>
    <t>Eficiencia</t>
  </si>
  <si>
    <t>Se presentan los resultados de las encuestas realizadas durante los meses de enero, febrero y marzo. Las encuestas se enfocaron en varios aspectos del servicio brindado, incluyendo el tiempo de espera, la claridad de la información proporcionada, la amabilidad del personal y la calidad de las instalaciones.
1. Tiempo de espera para ser atendido:
   - Muy Satisfecho: 45 encuestados (91.84%)
   - Satisfecho: 3 encuestados (6.12%)
   - Aceptable: 0 encuestados (0%)
   - Insatisfecho: 0 encuestados (0%)
   - Muy Insatisfecho: 1 encuestado (2.04%)
2. ¿Tuvo solución su requerimiento?
   - Muy Satisfecho: 45 encuestados (91.84%)
   - Satisfecho: 2 encuestados (4.08%)
   - Aceptable: 0 encuestados (0%)
   - Insatisfecho: 0 encuestados (0%)
   - Muy Insatisfecho: 2 encuestados (4.08%)
3. ¿La información suministrada por el funcionario y/o asesor fue clara y oportuna?
   - Muy Satisfecho: 46 encuestados (93.88%)
   - Satisfecho: 2 encuestados (4.08%)
   - Aceptable: 0 encuestados (0%)
   - Insatisfecho: 0 encuestados (0%)
   - Muy Insatisfecho: 1 encuestado (2.04%)
4. ¿Cómo encontró las instalaciones físicas y herramientas tecnológicas?
   - Muy Satisfecho: 45 encuestados (91.84%)
   - Satisfecho: 2 encuestados (4.08%)
   - Aceptable: 1 encuestado (2.04%)
   - Insatisfecho: 0 encuestados (0%)
   - Muy Insatisfecho: 1 encuestado (2.04%)
5. ¿Cómo califica la amabilidad por parte del funcionario y/o asesor?
   - Muy Satisfecho: 46 encuestados (93.88%)
   - Satisfecho: 2 encuestados (4.08%)
   - Aceptable: 0 encuestados (0%)
   - Insatisfecho: 0 encuestados (0%)
   - Muy Insatisfecho: 1 encuestado (2.04%).</t>
  </si>
  <si>
    <t>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t>
  </si>
  <si>
    <t>Seguimiento al Plan de Comunicaciones de la CSC</t>
  </si>
  <si>
    <t>Seguimiento al cronograma de actividades del plan de comunicaciones</t>
  </si>
  <si>
    <t>Seguimiento y evaluación al Plan de Comunicaciones de la CSC</t>
  </si>
  <si>
    <t xml:space="preserve">Total de actividades ejecutadas en el trimestre / Número de actividades planteadas en el plan </t>
  </si>
  <si>
    <t>Resultado del año inmediatamente anterior.</t>
  </si>
  <si>
    <t>Proporcional al trimestre</t>
  </si>
  <si>
    <t>El compromiso de incrementar la satisfacción y fidelización de nuestros afiliados se materializa a través del cumplimiento del cronograma de trabajo y actividades. A continuación, se detallan las principales acciones realizadas durante los meses de enero, febrero y marzo:
Estrategia para Opinión Pública:
   - Publicación de comunicados de prensa y publirreportajes.
   - Avisos publicitarios en medios locales y regionales.
   - Gestión de la Oficina de Prensa y Atención al Cliente.
 Estrategia de Contacto Personal:
   - Organización de comités y reuniones de gerencia.
   - Participación activa de la alta gerencia y el equipo de trabajo.
 Capacitación en Gestión Administrativa:
   - Programas de formación y capacitación para el manejo de la gestión administrativa de trámites de la entidad.
 Campañas de Servicio en Municipios:
   - Realización de campañas de servicio en diferentes municipios de Cundinamarca, acercando nuestros servicios a la comunidad.
 Entrega de Bonos e Incentivos:
   - Distribución de bonos e incentivos a los afiliados como reconocimiento a su fidelidad y participación activa.</t>
  </si>
  <si>
    <t>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t>
  </si>
  <si>
    <t xml:space="preserve">Realizar nuevas vinculaciones durante el cuatrienio </t>
  </si>
  <si>
    <t>Efectividad vinculaciones</t>
  </si>
  <si>
    <t>Evaluar la efectividad de la gestión de vinculaciones realizadas</t>
  </si>
  <si>
    <t>(Número de vinculaciones efectivas en el Periodo /Total de vinculaciones prograadas) * 100</t>
  </si>
  <si>
    <t>Desde la Oficina de Prensa y Atención al Cliente, teníamos la meta para el primer trimestre de cumplir con 140 afiliaciones, y nos complace anunciar que hemos CUMPLIDO con esa meta.
Las 140 afiliaciones se distribuyen de la siguiente manera:
En enero realizamos 14 afiliaciones.
En febrero realizamos 60 afiliaciones.
En marzo realizamos 66 afiliaciones.
Este esfuerzo conjunto nos permitió alcanzar un total de 140 afiliaciones, logrando así nuestro objetivo para el primer trimestre.</t>
  </si>
  <si>
    <t>El indicador cumple con lo programado.  Este resultado fortalece la base de afiliados y contribuye al crecimiento y sostenibilidad de la entidad.</t>
  </si>
  <si>
    <t>Estableciendo lineamientos y cumpliendo con los requisitos aplicables al otorgamiento de créditos y planes de bienestar social en el ámbito departamental</t>
  </si>
  <si>
    <t>Mejorar la calidad del servicio en oportunidad, seguridad, confiabilidad y asesoría adecuada</t>
  </si>
  <si>
    <t>MISIONAL
Bienestar</t>
  </si>
  <si>
    <t>Subgerente de Servicios Corporativos
Profesional Universitario  (Bienestar).</t>
  </si>
  <si>
    <t xml:space="preserve">*Subgerencia de Servicios Corporativos.
</t>
  </si>
  <si>
    <t>Beneficiar el 20% de los afiliados y beneficiarios con las actividades y servicios de bienestar que presta la Corporación.</t>
  </si>
  <si>
    <t>Afiliados beneficiados con programas de bienestar social  (capacitaciones, recreación, promoción)</t>
  </si>
  <si>
    <t>Medir el porcentaje de afiliados beneficiados con los servicios de bienestar que presta la Corporación</t>
  </si>
  <si>
    <t>Número de afiliados beneficiados *100 /
Total de afiliados</t>
  </si>
  <si>
    <t>Resultado del año anterior.</t>
  </si>
  <si>
    <t>En el primer trimestre del 2024 se entregaron 817 anchetas y 50 kits en conmemoración del día del hombre y la mujer y mantener la fidelización de los afiliados.  Cumpliendo un 95,70 % de la meta esperada.</t>
  </si>
  <si>
    <t>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t>
  </si>
  <si>
    <t>*Subgerencia de Servicios Corporativos.</t>
  </si>
  <si>
    <t>Beneficiar a los afiliados con actividades   encaminadas a difundir y promocionar el portafolio de servicios de la entidad. Asesorando y tramitando tanto créditos como afiliaciones de manera virtual y presencial  en los diferentes municipios del Departamento.</t>
  </si>
  <si>
    <t>Eficacia en la promoción del portafolio de servicios de la entidad en los municipios del Departamento</t>
  </si>
  <si>
    <t>Medir el  porcentaje de municipios Cundinamarqueses visitados</t>
  </si>
  <si>
    <t xml:space="preserve">Número de municipios cundinamarqueses visitados por el  Grupo de Asesores Comerciales *100 /
número de municipios cundinamarqueses programados visitar </t>
  </si>
  <si>
    <t>En el primer trimestre del 2024 no se han iniciado las visitas a los municipios, debido a que no se ha realizado contratacion de asesores comerciales.</t>
  </si>
  <si>
    <t>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t>
  </si>
  <si>
    <t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t>
  </si>
  <si>
    <t xml:space="preserve">Eficacia de subsidios educativos </t>
  </si>
  <si>
    <t>Medir el número de entregas de subsidios educativos a los afiliados que ya cuentan con el beneficio de este programa</t>
  </si>
  <si>
    <t>Número de subsidios educativos entregados*100  /
Número de subsidios educativos activos</t>
  </si>
  <si>
    <t>semestral</t>
  </si>
  <si>
    <t>En el primer trimestre del 2024 se giraron 10 subsidios educativos, de 30 subsidios activos. De igual forma se mediran semestralmente.</t>
  </si>
  <si>
    <t>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t>
  </si>
  <si>
    <t xml:space="preserve">Se desembolsaron 7 subsidios educativos en el segundo trimestre para un total de 17 subsidios girados en el semestre de los 30 esperados, los 13 no girados corresponden a: 5 finalizaron carrera, 1 pierde materia, 1 cambia de universidad, 1 cambia carrera, 1 deja de reclamar mas de 2 semestres, 1 no reclamó, 3 presentaron documentos despues del cierre de armonizacion presupuestal.  </t>
  </si>
  <si>
    <t>MISIONAL
Crédito y Cartera</t>
  </si>
  <si>
    <t xml:space="preserve"> Profesional de crédito</t>
  </si>
  <si>
    <t xml:space="preserve"> Subgerencia de Servicios Corporativos.</t>
  </si>
  <si>
    <t xml:space="preserve">Colocación de créditos. </t>
  </si>
  <si>
    <t>Avance en la colocación de créditos</t>
  </si>
  <si>
    <t>Garantizar el cumplimiento de la meta del Plan de desarrollo (Meta total del cuatrienio: 8000 créditos)</t>
  </si>
  <si>
    <t>Número de créditos desembolsados en el periodo  * 100 /
Número de créditos programados para desembolsar en el periodo</t>
  </si>
  <si>
    <t>Resultado de la meta propuesta en el plan de desarrollo</t>
  </si>
  <si>
    <t>Durante el Primer  Trimestre de 2024 se desembolsaron 82 créditos de 122 que fueron radicados durante el mismo periodo, en razón de que algunos afiliados no legalizaron documentos para lograr el respectivo desembolso. La meta de 150 créditos para el primer  trimestre de 2024 no  fue cumplida.</t>
  </si>
  <si>
    <t>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t>
  </si>
  <si>
    <t>Durante el segundo trimestre de 2024 se desembolsaron 103 créditos de 89 que fueron radicados durante el mismo periodo, en razón de que algunos afiliados no legalizaron documentos para lograr el respectivo desembolso. La meta de 650 créditos para el segundo  trimestre de 2024 no  fue cumplida.</t>
  </si>
  <si>
    <t>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t>
  </si>
  <si>
    <t>Asegurar el cumplimiento de tiempos en los Créditos hipotecarios.</t>
  </si>
  <si>
    <t>Oportunidad en la gestión de otorgamiento créditos hipotecarios.</t>
  </si>
  <si>
    <t>Verificar el cumplimiento de los términos establecidos para el desembolso de créditos hipotecarios (una vez se encuentren radicados los documentos para iniciar el trámite).</t>
  </si>
  <si>
    <t>Créditos hipotecarios desembolsados  en máximo 30 días hábiles  (tiempos de trámites internos CSC) * 100  /  Total créditos hipotecarios desembolsados.</t>
  </si>
  <si>
    <t>De los 82 créditos desembolsados durante el primer trimestre de 2024, 1 corresponde a crédito de vivienda hipotecarios del cual  1 fué desembolsado en un periodo menor a 45 dias, dando cumplimiento a la meta programada  (No se tiene en cuenta el tiempo de trámites externos como notariado, registro, firma de libranzas y pagarés).</t>
  </si>
  <si>
    <t>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t>
  </si>
  <si>
    <t>De los 103 créditos desembolsados durante el segundo trimestre de 2024, 4 corresponde a crédito de vivienda hipotecarios del cual  4 fueron desembolsados en un periodo menor a 45 días, dando cumplimiento a la meta programada  (No se tiene en cuenta el tiempo de trámites externos como notariado, registro, firma de libranzas y pagarés).</t>
  </si>
  <si>
    <t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t>
  </si>
  <si>
    <t>Asegurar el cumplimiento de tiempos en el Crédito de consumo.</t>
  </si>
  <si>
    <t>Oportunidad en la gestión de otorgamiento créditos no hipotecarios.</t>
  </si>
  <si>
    <t>Verificar el cumplimiento de los términos establecidos para el desembolso de créditos no hipotecarios (una vez se encuentren radicados los documentos para iniciar el trámite).</t>
  </si>
  <si>
    <t xml:space="preserve">Créditos no hipotecarios desembolsados  en máximo 15 días (tiempos de trámites internos de CSC) * 100  /  Total créditos no hipotecarios desembolsados.
</t>
  </si>
  <si>
    <t>De los 82 créditos desembolsados en el primer trimestre 2024, 81  corresponden a créditos de consumo, de los cuales 75 fueron desembolsados en un término inferior a 15 días,  mientras que 6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</si>
  <si>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t>
  </si>
  <si>
    <t>De los 99 créditos desembolsados en el segundo trimestre 2024,   corresponden a créditos de consumo, de los cuales 72 fueron desembolsados en un término inferior a 15 días,  mientras que 27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</si>
  <si>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t>
  </si>
  <si>
    <t>Profesional de Cartera
Jefe Oficina Gestión Jurídica</t>
  </si>
  <si>
    <t>* Subgerencia de Servicios Corporativos.
* Dirección de cartera y ahorros
* Oficina Asesora Jurídica</t>
  </si>
  <si>
    <t xml:space="preserve">Disminuir el porcentaje de cartera vencida por debajo del 24%. </t>
  </si>
  <si>
    <t>Indice de cartera vencida</t>
  </si>
  <si>
    <t xml:space="preserve">Mantener el mayor porcentaje posible de saldo de cartera de la entidad en calificación A. </t>
  </si>
  <si>
    <t>Saldo de cartera vencida (diferente a A) *100 / Saldo total de cartera.
(excluir cuentas de orden)</t>
  </si>
  <si>
    <t xml:space="preserve">Efectividad </t>
  </si>
  <si>
    <t>Resultado año anterior</t>
  </si>
  <si>
    <t>&lt; 24%</t>
  </si>
  <si>
    <t>Este indicador de cartera juridica va en aumento y se debe poner plan de contingencia para la celebración de acuerdos de pago para normalizar las obligaciones.</t>
  </si>
  <si>
    <t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t>
  </si>
  <si>
    <t>El indicador dió como resultado del segundo trimestre un 30,8% la oficina Asesora Jurídica debe implentar las acciones necesarias para cumplir con la meta esperada.</t>
  </si>
  <si>
    <t>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t>
  </si>
  <si>
    <t>Profesional de Cartera</t>
  </si>
  <si>
    <t>* Subgerencia de Servicios Corporativos.
* Dirección de cartera y ahorros</t>
  </si>
  <si>
    <t xml:space="preserve">Aplicar el total del valor recaudado de las diferentes pagadurías. </t>
  </si>
  <si>
    <t>Oportunidad en la aplicación del recaudo</t>
  </si>
  <si>
    <t xml:space="preserve">Garantizar el desglose total del valor recaudado de las diferentes pagadurías </t>
  </si>
  <si>
    <t>Valor desglosado en el periodo *100 / Valor recaudado en el periodo</t>
  </si>
  <si>
    <t>Se ha cumplido satisfactoriamente el desglose de los recaudos recibidos.</t>
  </si>
  <si>
    <t>El cumplimiento satisfactorio del desglose de los recaudos recibidos en el primer trimestre de 2024 refleja una gestión eficiente y control de los ingresos.</t>
  </si>
  <si>
    <t>El cumplimiento excelente del desglose de los recaudos recibidos en el segundo trimestre de 2024 refleja una gestión eficiente y control de los ingresos.</t>
  </si>
  <si>
    <t>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t>
  </si>
  <si>
    <t>Disminuir el porcentaje de cartera en "estado persuasivo"</t>
  </si>
  <si>
    <t>Indice de cartera en estado persuasivo</t>
  </si>
  <si>
    <t>Mantener la cartera en el estado preventivo evitando que esta pase a estado persuasivo</t>
  </si>
  <si>
    <t>Saldo de cartera vencida en estado persuasivo *100 / Saldo total de cartera.
(excluir cuentas de orden)</t>
  </si>
  <si>
    <t>&lt;2%</t>
  </si>
  <si>
    <t>El indicador tuvo un aumento debido al cambio de administracion y gobierno, sin embargo, se contrato un equipo de personas para realizar las llamadas de cobro y poder bajar el mismo.</t>
  </si>
  <si>
    <t>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t>
  </si>
  <si>
    <t xml:space="preserve">El indicador tuvo una reducción respecto del trimestre anterior, debido a la gestión que se viene desarrollando por parte del personal contratado para la gestión del cobro en estado persuasivo.
</t>
  </si>
  <si>
    <t>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t>
  </si>
  <si>
    <t>Disminuir el porcentaje de cartera en estado pre-jurídico</t>
  </si>
  <si>
    <t>Indice de cartera en estado pre-jurídico</t>
  </si>
  <si>
    <t>Mantener la cartera en el estado persuasivo evitando que esta pase a estado pre - jurídico</t>
  </si>
  <si>
    <t>Saldo de cartera vencida en estado pre-jurídico *100 / Saldo total de cartera.
(excluir cuentas de orden)</t>
  </si>
  <si>
    <t>El indicador tuvo un aumento debido al cambio de administración y gobierno, sin embargo, se contrato un equipo de personas para realizar las llamadas de cobro y poder bajar el mismo.</t>
  </si>
  <si>
    <t>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t>
  </si>
  <si>
    <t>El indicador dio como resultado del segundo trimestre un 4,4%  , es importante tener en cuenta  que desde el 16 de abril del 2024, se congelo el otorgamiento de creditos lo que afecta en el indicador de la Cartera Total, a pesar que se ha venido realizando la gestión de cobro.</t>
  </si>
  <si>
    <t>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t>
  </si>
  <si>
    <t>Contando con colaboradores y proveedores idóneos</t>
  </si>
  <si>
    <t>Evaluar el desempeño de los proveedores externos para que cumplan con los requisitos</t>
  </si>
  <si>
    <t xml:space="preserve">APOYO
Gestión Contractual </t>
  </si>
  <si>
    <t>Jefe de la Oficina de Contratación</t>
  </si>
  <si>
    <t xml:space="preserve">* Oficina asesora de contratación. </t>
  </si>
  <si>
    <t>Realizar la  gestión contractual acorde con la programación establecida en el Plan Anual de Adquisiciones</t>
  </si>
  <si>
    <t>Seguimiento PAA</t>
  </si>
  <si>
    <t>Hacer seguimiento a la gestión contractual acorde con la programación establecida en el Plan Anual de Adquisiciones</t>
  </si>
  <si>
    <t>Número de contratos celebrados * 100 / Total de contratos previstos en el PAA</t>
  </si>
  <si>
    <t>Direccionamineto estratégico</t>
  </si>
  <si>
    <t>Compras y contratación pública</t>
  </si>
  <si>
    <t>Se envio mediante correo electrónico, memorando solicitando a las dependencias el cumplimiento del cronograma del Plan Anual de Adquisiciones.</t>
  </si>
  <si>
    <t>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t>
  </si>
  <si>
    <t xml:space="preserve">De los 9 contratos proyectados en el PAA para el segundo trimestre se ejecutaron 2 contratos Se envio correo electronico a las dependencias por el incumplimiento y se determino que debido a la armonización presupuestal genero el cierre en el rubro de inversión. Durante el periodo se generaron 42 contratos entre los que se encuentran 2 proyectados en el PAA (febrero y junio de 2024).                                                                                                                                                                                     </t>
  </si>
  <si>
    <t>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t>
  </si>
  <si>
    <t>Publicar a los entes de control del SIA observa</t>
  </si>
  <si>
    <t>Rendición de cuenta a contraloria SIA observa</t>
  </si>
  <si>
    <t>Hacer seguimiento a la rendición de la cuenta en el tiempo establecido</t>
  </si>
  <si>
    <t xml:space="preserve">Número de cuentas rendidas en el plazo establecido(3 primeros días hábiles de cada mes)/3 </t>
  </si>
  <si>
    <t>Cada mes se debe medir</t>
  </si>
  <si>
    <t>Se cumplió con el rendimiento de las cuentas Sia Observa durante el primer trimestre 2024, se adjuntas actas de rendición de cuentas.</t>
  </si>
  <si>
    <t>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t>
  </si>
  <si>
    <t>En este trimestre se realizaron 3 reportes equivalentes a los meses Abril, mayo, junio, cumpliendo con la obligatoriedad de los 3 primeros dias de cada mes, registrando contratos suscritos.</t>
  </si>
  <si>
    <t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t>
  </si>
  <si>
    <t xml:space="preserve">Verificar el comportamiento  de los proveedores </t>
  </si>
  <si>
    <t xml:space="preserve">Reevaluación a proveedores </t>
  </si>
  <si>
    <t>Hacer seguimiento a la evaluación y reevaluación de los proveedores.</t>
  </si>
  <si>
    <t>Reevaluación de los proveedores en el periódo* 100/Número de contratos suscritos a reevaluar.</t>
  </si>
  <si>
    <t xml:space="preserve">Se reevaluaron tres contratos que se terminaron en el primer trimestre, cumpliendo a satisfacción con la reevaluación del proveedor, el cual se encuentra en las actas de terminación de los contratos. </t>
  </si>
  <si>
    <t>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t>
  </si>
  <si>
    <t xml:space="preserve">Durante este trimestre se registro 1 terminacion de contrato suscrito en el 2024, </t>
  </si>
  <si>
    <t>La Corporación Social de Cundinamarca mejora el Sistema de Gestión de Calidad y asegura su integración con los componentes del MECI</t>
  </si>
  <si>
    <t>APOYO
Gestión de la Información</t>
  </si>
  <si>
    <t>Subgerente Administrativa y financiera
Profesional Universitario de Gerencia</t>
  </si>
  <si>
    <t xml:space="preserve">*Subgerencia Administrativa y financiera 
*Gerencia
</t>
  </si>
  <si>
    <t>Realizar mantenimiento preventivo a los equipos de cómputo, impresoras, scanner y equipo de la red de la entidad</t>
  </si>
  <si>
    <t>Gestión de mantenimientos preventivos</t>
  </si>
  <si>
    <t>Evaluar el cumplimiento de los mantenimientos preventivos  de los equipos de cómputo, impresoras, scanner y equipo de la red de la entidad</t>
  </si>
  <si>
    <t>Número de mantenimientos preventivos realizados  *100/ número de mantenimientos preventivos programados.</t>
  </si>
  <si>
    <t xml:space="preserve">Trimestral </t>
  </si>
  <si>
    <t>1. Gestión con valores para resultados.       2. Información y comunicación</t>
  </si>
  <si>
    <t>1. Gobierno digítal y seguridad digítal.                 2. Transparencia y acceso a la información</t>
  </si>
  <si>
    <t>Se creó el estudio previo para realizar “PRESTACIÓN DE SERVICIOS PROFESIONALES PARA APOYAR, RECOMENDAR Y ORIENTAR AL ÁREA DE SISTEMAS DE LA CSC, EN EL LEVANTAMIENTO DE LA INFORMACIÓN TECNOLÓGICA DE LA CORPORACIÓN SOCIAL DE CUNDINAMARCA.”  Con el informe de tecnologia se tomará la decisión de realizar mantenimiento, compra, alquiler o repotencialización de los equipos de cómputo.</t>
  </si>
  <si>
    <t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t>
  </si>
  <si>
    <t>Se realizó el contrato 24-054 con objeto   “PRESTACIÓN DE SERVICIOS PROFESIONALES PARA APOYAR, RECOMENDAR Y ORIENTAR AL AREA DE SISTEMAS DE LA CSC, EN EL LEVANTAMIENTO DE LA INFORMACIÓN TECNOLÓGICA DE LA CORPORACIÓN SOCIAL DE CUNDINAMARCA.”  Con el informe de tecnologia se tomará la decisión de realizar mantenimiento, compra, alquiler o repotencialización de los equipos de cómputo y se dio inicio al contrato el 17 de junio de 2024.</t>
  </si>
  <si>
    <t>Realizar mantenimiento correctivo cuando sea necesario  a los equipos de cómputo, impresoras, scanner y equipo de la red de la entidad, asi como soporte al usuario.</t>
  </si>
  <si>
    <t>Gestión de mantenimientos correctivos y soporte a usuarios</t>
  </si>
  <si>
    <t xml:space="preserve">Generar mantenimientos correctivos a los equipos de computo, impresoras, scanner y equipos de Red de la entidad, así como brindar soporte técnico a los usuarios según la necesidad. </t>
  </si>
  <si>
    <t>Número de casos de mantenimientos correctivos solucionados / Número de casos de mantenimiento presentados *100</t>
  </si>
  <si>
    <t>Se realizó soporte de mantenimiento correctivo a los equipos de la red y soporte a los usuarios. Se encuentran documentados 28 requerimientos.</t>
  </si>
  <si>
    <t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t>
  </si>
  <si>
    <t>*Subgerencia Administrativa y financiera 
*Gerencia</t>
  </si>
  <si>
    <t xml:space="preserve">Adquirir los equipos tecnológicos requeridos por la entidad. </t>
  </si>
  <si>
    <t>Gestión y adquisición de proyectos tecnológicos</t>
  </si>
  <si>
    <t>Gestionar el proceso de  compra y/o alquiler de equipos tecnológicos y/o infraestructura tecnológica.</t>
  </si>
  <si>
    <t>Cantidad de equipos e infraestructura tecnológica adquirida *100/ Cantidad de equipos  e infraestructura requerida</t>
  </si>
  <si>
    <t>Se realizó el proceso de contratación para adquirir en alquiler las impresoras y escaneres requeridos para el funcionamiento operativo de la CSC.</t>
  </si>
  <si>
    <t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t>
  </si>
  <si>
    <t>Se realizó el proceso de compra para adquirir las licencias g-suite para el funcionamiento operativo de la CSC, CONTRATO 24-007.</t>
  </si>
  <si>
    <t xml:space="preserve">*Subgerencia Administrativa y financiera 
</t>
  </si>
  <si>
    <t xml:space="preserve">Publicación y seguimiento del Plan de Tratamiento de Riesgos de Seguridad y Privacidad de la Información, Plan de Seguridad y Privacidad de la Información y PETIC. </t>
  </si>
  <si>
    <t>Seguimiento y Publicación de planes anuales de gestión de la información.</t>
  </si>
  <si>
    <t xml:space="preserve">Verificar el seguimiento y la publicación del Plan de Tratamiento de Riesgos de Seguridad y Privacidad de la Información, Plan de Seguridad y Privacidad de la Información y PETIC. </t>
  </si>
  <si>
    <t xml:space="preserve">Actividades ejecutadas según cronograma de actividades en los planes publicados *100 / total de  actividades programadas en los Planes </t>
  </si>
  <si>
    <t xml:space="preserve">Se realizó la publicación de los planes correspondientes en https://csc.gov.co/planes-gestion-de-la-informacion/ Se realizó seguimiento de los planes y sus actividades, de las 5 actividades se culminaron 4 a satisfacción. </t>
  </si>
  <si>
    <t>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t>
  </si>
  <si>
    <t xml:space="preserve">Se realizó seguimiento de los planes y sus actividades .De las 11 actividades se culminaron 11 a satisfacción. </t>
  </si>
  <si>
    <t>Subgerente Administrativa y financiera
Auxiliar Administrativo</t>
  </si>
  <si>
    <t xml:space="preserve">*Subgerencia Administrativa y financiera 
</t>
  </si>
  <si>
    <t>Actualización, publicación y seguimiento al Plan Institucional de Archivos de la Entidad  (PINAR).</t>
  </si>
  <si>
    <t>Ejecución del PINAR</t>
  </si>
  <si>
    <t>Realizar seguimiento a las actividades propuestas en el PINAR</t>
  </si>
  <si>
    <t>Actividades ejecutadas según cronograma del PINAR  * 100 / Total de Actividades cronograma del PINAR</t>
  </si>
  <si>
    <t xml:space="preserve">Se llevó a cabo en el primer trimestre 2024 la actualización del Plan Institucional del PINAR para la vigencia 2024, https://csc.gov.co/wp-content/uploads/2024/01/1.-PLAN-INSTITUCIONAL-DE-ARCHIVOS-PINAR.pdf,  el cual se encuentra en la página www.csc.gov.co. para el respectivo seguimiento. También se realizó tres actividades programadas correspondiente  al escaneo de 60 cajas de órdenes de pago  y 188 garantías del año 2024. Se realizó el traslado de libros de nómina de años anteriores al archivo central, liberando estanterias para capacidad aproximadamente de 6 mts2; Se está trabajando con el proceso de sistemas para la adquicisión de 300 GIGAS en el servidor aproximadamente que garanticen el respaldo de la informacion del archivo, sin embargo se tiene un back up en una tera. Se esta proyectando realizar cambios en el cronograma del PINAR </t>
  </si>
  <si>
    <t>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t>
  </si>
  <si>
    <t xml:space="preserve">Una de las seis 06) actividades que se llevó a cabo en el segundo  trimestre 2024,se   ajusto y  actualizo actividades del Plan Institucional del PINAR para la vigencia 2024, https://csc.gov.co/wp-content/uploads/2024/01/1.-PLAN-INSTITUCIONAL-DE-ARCHIVOS-PINAR.pdf,  el cual se encuentra en la página www.csc.gov.co. para el respectivo seguimiento. También se realizó una segunda actividad correspondiente  al escaneo de 90 cajas de contratos ,nomina,area admnistrativa . </t>
  </si>
  <si>
    <t xml:space="preserve">Contando con colaboradores y proveedores idóneos </t>
  </si>
  <si>
    <t>Garantizar los recursos para la rentabilidad y sostenibilidad de la Entidad</t>
  </si>
  <si>
    <t>APOYO
Gestión de Recursos Fisicos</t>
  </si>
  <si>
    <t>Subgerente Administrativa y Financiera
Almacenista General</t>
  </si>
  <si>
    <t>Subgerencia Administrativa y Financiera
Almacén</t>
  </si>
  <si>
    <t>Seguimiento Plan Anual de mantenimiento de la infraetructura física  de la entidad y realizar el seguimiento de acuerdo al cronograma de actividades</t>
  </si>
  <si>
    <t xml:space="preserve">Elaborar y hacer seguimiento al Plan Anual de mantenimiento infraestructura física </t>
  </si>
  <si>
    <t>Hacer seguimiento a la elaboración y ejecución del Plan Anual de mantenimiento de la infraetructura fisica  de la Entidad. Asi como realizar el seguimiento de acuerdo al cronograma de actividades</t>
  </si>
  <si>
    <t xml:space="preserve">Número de actividades realizadas de acuedo al cronograma *100/ Número de actividades  Programadas de acuerdo al cronograma </t>
  </si>
  <si>
    <t>NA</t>
  </si>
  <si>
    <t>Cronograma de actividades</t>
  </si>
  <si>
    <t xml:space="preserve"> -</t>
  </si>
  <si>
    <t>Direccionamiento estratégico y gestión con valores para el resultado</t>
  </si>
  <si>
    <t>Planeación institucional, de fortalecimiento organizacional y simplificación del proceso.</t>
  </si>
  <si>
    <t>Para el primer trimestre del año 2024, Se socializa y se ajusta el nuevo plan de mantenimiento con su cronograma de actividades, para la presente vigencia, siguiendo los lineamientos de la nueva administración.</t>
  </si>
  <si>
    <t xml:space="preserve">Para el segundo trimestre del año en curso, se cumple con lo planeado en el cronograma: actividad 1- mantenimiento lavado de ventanales,  Actividad 2-fumigaciónes a todo el edificio y al área de archivo, actividad 4 Revisión y Mantenimiento  tejado 4 piso y actividad 8 Lavado y desinfección de tanques de almacenamiento de agua. Amparado con el contrato de servicios nº 24-0009 con la empresa DYSAP. </t>
  </si>
  <si>
    <t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t>
  </si>
  <si>
    <t>Subgerente Administrativa y Financiera
Auxiliar Administrativo</t>
  </si>
  <si>
    <t>Subgerencia Administrativa y Financiera</t>
  </si>
  <si>
    <t>Informe semestral de seguimiento a la Inspección preoperativa del parque automotor de la Entidad</t>
  </si>
  <si>
    <t>Informe de Inspección preoperativa del parque automotor de la entidad. Dos mantenimientos al año.</t>
  </si>
  <si>
    <t>Hacer seguimiento a la inspección del Plan Anual de mantenimiento del parque automotor de la entidad dos veces al año</t>
  </si>
  <si>
    <t>No. de mantenimientos realizados *100/No.de mantenimientos programados en cronograma</t>
  </si>
  <si>
    <t>Semestral</t>
  </si>
  <si>
    <t>Se realizó estudio previo  del parque  automotor. Se solicitaron cotizaciones  del 08 de marzo de 2024. Debido al cambio de Subgerente Administrativo y Financiero se  detuvo la contratación dándose inicio de la misma  a partir del  19 de abril de 2024 convalidando el diagnóstico real del parque  automotor por parte de la Gerente y Subgerente Administrativa y Financiera de la Entidad. No se llevó a cabo ningún mantenimiento a los vehículos de la Entidad por las razones expuestas.</t>
  </si>
  <si>
    <t>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t>
  </si>
  <si>
    <t>Para este segundo trimestre se  realizó cinco (  05) inspecciones Preoperativa a los siguientes vehiculos  asi: OFK-544,OFK-864,OFK-448,OSM-114,OHK-865.</t>
  </si>
  <si>
    <t>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t>
  </si>
  <si>
    <t>Elaborar y hacer seguimiento al estudio de la necesidad de compra de elementos de consumo y papelería de la entidad</t>
  </si>
  <si>
    <t xml:space="preserve">Seguimiento a la necesidad de  compra de elementos de consumo y papelería de la entidad por los diferentes procesos 
</t>
  </si>
  <si>
    <t>Satisfacer a confomidad las necesidades de elementos de consumo y papelería en los diferentes procesos de la Corporación.</t>
  </si>
  <si>
    <t>No. de solicitudes recibidas de los procesos*100 / No. de solicitudes enviadas a los procesos</t>
  </si>
  <si>
    <t>Solicitudes de las Dependencias</t>
  </si>
  <si>
    <t>Se proyecta  el estudio de necesidad de útiles de oficina, papelería y tóner requeridos para el buen funcionamiento de la parte administrativa de la entidad, con los formatos consolidados de solicitudes de elementos de almacén entregados  por las diferentes áreas de la entidad en el mes de octubre 2023.</t>
  </si>
  <si>
    <t>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t>
  </si>
  <si>
    <t>Para este segundo trimestre, cumplieron con la entrega de solicitud de elementos a almacen 4 áreas (Juridica, Subgerencia de Servicios Corporativos, Contratacion y Sistemas ).</t>
  </si>
  <si>
    <t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t>
  </si>
  <si>
    <t xml:space="preserve">Subgerencia Administrativa y Financiera
Almacén </t>
  </si>
  <si>
    <t>Actualizar semestralmente los inventarios  individuales de los funcionarios de la Entidad, los cuales deben estar firmados por el funcionario responsable.</t>
  </si>
  <si>
    <t>Inventarios de bienes muebles  individuales</t>
  </si>
  <si>
    <t>Hacer seguimiento a la actualización de inventarios  individuales de los funcionarios de la entidad.</t>
  </si>
  <si>
    <t># de  inventarios Individuales actualizados*100/ # de funcionarios entidad</t>
  </si>
  <si>
    <t xml:space="preserve"> Inventario puestos de trabajo y elementos exportado del software de inventarios por cada funcionario. </t>
  </si>
  <si>
    <t>Se comienza con la recopilación de la información de los inventarios devolutivos  funcionario por funcionario, para actualizarlos al 30 de junio 2024.</t>
  </si>
  <si>
    <t>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t>
  </si>
  <si>
    <t>Se actualiza la informacion de los inventarios devolutivos asignados a cada funcionario con base en la planta de personal activa de la Entidad, a la fecha de  30 de junio de 2024.se actualizan 50 inventarios de la base inicial de 57 funcionarios activos.</t>
  </si>
  <si>
    <t xml:space="preserve">Verificar los elementos de consumo y devolutivos de acuerdo al reporte generado por Novasoft frente al fisico. </t>
  </si>
  <si>
    <t>Reportes de Elementos  de consumo y devolutivos</t>
  </si>
  <si>
    <t xml:space="preserve">Verificar los elementos de consumo y devolutivos de acuerdo al reporte generado por Novasoft frente al físico. </t>
  </si>
  <si>
    <t>No de reportes generados*100/ # de reportes programados.</t>
  </si>
  <si>
    <t xml:space="preserve">Reporte del software
Informe de consumos y devolutivos </t>
  </si>
  <si>
    <t>Se realiza mes a mes (enero-febrero y marzo 2024) la respectiva interface de almacén general y se envía al área de contabilidad para su trámite pertinente.</t>
  </si>
  <si>
    <t>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t>
  </si>
  <si>
    <t>Se cumple con el propósito del indicador realizando mes a mes la respectiva interface de almacén general (abril, mayo y junio 2024) y se envía al área de contabilidad y presupuesto para el trámite correspondiente.</t>
  </si>
  <si>
    <t>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t>
  </si>
  <si>
    <t>Elaborar y/o actualizar el Plan institucional de Gestión Ambiental y publicarlo en la página web de la Entidad</t>
  </si>
  <si>
    <t>Seguimiento al PIGA</t>
  </si>
  <si>
    <t>Elaborar y/o actualizar el PIGA de la Entidad, así como realizar el respectivo seguimiento de acuerdo al cronograma de actividades.</t>
  </si>
  <si>
    <t xml:space="preserve">Número de actividades realizadas de acuerdo al cronograma *100/ Número de actividades  Programadas de acuerdo al cronograma </t>
  </si>
  <si>
    <t>Número de actividades del cronograma</t>
  </si>
  <si>
    <t>Se actualizo el “plan Institucional de gestión ambiental"  PIGA de la entidad en su normograma y su cronograma de actividades para la presente vigencia.</t>
  </si>
  <si>
    <t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t>
  </si>
  <si>
    <t>En el segundo trimestre se da cumplimiento a los items 1,3,7,10 y 11 del cronograma de actividades del PIGA, mediante campañas de concientizacion enviadas a los correos intitucionales de todos los funcionarios de la entidad los dias 8 de abril y 8 de mayo del 2024.</t>
  </si>
  <si>
    <t>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t>
  </si>
  <si>
    <t>Potencializar el talento humano con el fin de fortalecer sus competencias</t>
  </si>
  <si>
    <t>APOYO
Gestión del Talento Humano</t>
  </si>
  <si>
    <t>Subgerente Administrativa y Financiera
Profesional Universitario TH</t>
  </si>
  <si>
    <t>*Subgerencia Administrativa y Financiera. 
Oficina de TH</t>
  </si>
  <si>
    <t xml:space="preserve">Elaborar, implementar y realizar seguimiento el Plan Institucional de Capacitación  (PIC) para los funcionarios de la CSC </t>
  </si>
  <si>
    <t>Ejecutar el Plan Institucional de Capacitación.</t>
  </si>
  <si>
    <t>Ejecutar y hacer seguimiento a las capacitaciones previstas en el cronograma de actividades</t>
  </si>
  <si>
    <t xml:space="preserve">
No. de actividades ejecutadas*100/ No. de actividades programadas según cronograma</t>
  </si>
  <si>
    <t>Plan institucional de capacitación</t>
  </si>
  <si>
    <t>Talento humano y gestión del conocimiento</t>
  </si>
  <si>
    <t>Talento humano e integridad y gestión del conocimiento y la innovación</t>
  </si>
  <si>
    <t>Para el primer trimestre de 2024 se elaboró el Plan de Capacitación y el 31 de enero de 2024 fue publicado en la página Web de la CSC. No se realizaron capacitaciones ya que por cambio de gobierno departamental y armonización presupuestal se ajustó el cronograma, el cual fue aprobado el 29 de abril de 2024.</t>
  </si>
  <si>
    <t>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t>
  </si>
  <si>
    <t xml:space="preserve">Se llevó a cabo la inducción a los funcionarios que ingresaron nuevos a la entidad, ocupando los cargos de carrera administrativa y libre nombramiento. 
Se inscribieron algunos funcionarios en la capacitación de Integridad, Transparencia y Lucha Contra la Corrupcion. </t>
  </si>
  <si>
    <t>Elaborar y realizar el seguimiento al Plan de Bienestar e incentivos de la CSC ajustado a los lineamientos normativos, conceptuales y dimensiones estratégicas adoptadas como resultado del diagnóstico institucional.</t>
  </si>
  <si>
    <t xml:space="preserve"> Realizar seguimiento al cronograma de actividades de bienestar </t>
  </si>
  <si>
    <t xml:space="preserve">Ejecutar el total de las actividades señaladas en el plan de bienestar e incentivos de la CSC. </t>
  </si>
  <si>
    <t xml:space="preserve">Actividades ejecutadas según cronograma *100 / Actividades programadas según cronograma  </t>
  </si>
  <si>
    <t>Mi MIPG se articula y complementa con este sistema, además de los sistemas de servicio al ciudadano, gestión ambiental y de seguridad de la información entre otros.</t>
  </si>
  <si>
    <t xml:space="preserve">Para el primer trimestre de 2024 se ejecutaron cuatro actividades: Compensatorio Semana Santa, Celebracion cumpleaños y dia compensatorio para los funcionarios por dicho evento; y  desayuno del dia de la mujer y del dia del hombre. </t>
  </si>
  <si>
    <t>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t>
  </si>
  <si>
    <t>Durante el segundo trimestre de 2024 se ejecutaron nueve  (09) actividades: Actividad reunion copa Gobernacion 2024,  dia de la familia (entrega de boletas de cine), visita a la Licorera de Cundinamarca, actividad de pre-pensionados, Compensatorios por cumpleaños con entrega de obsequio, birgada de bienestar con Recordar (suplementos alimenticios y masajes),  socializacion código de Integridad, celebracion dia de la Secretaria y entrega obsequio dia de la Madre  y ; de acuerdo con el cronograma de actividades proporcional al trimestre en medición.</t>
  </si>
  <si>
    <t xml:space="preserve">Contando con colaboradores y proveedores idóneos 
y
Articular los requisitos del
Sistema de Seguridad y Salud </t>
  </si>
  <si>
    <t>Potencializar el talento humano con el fin de fortalecer sus competencias
y
Generar acciones de mejora continua para optimizar los procesos</t>
  </si>
  <si>
    <t>Subgerente Administrativa y Financiera
Profesional Universitario SGSST</t>
  </si>
  <si>
    <t>Ejecutar del Programa de Seguridad y Salud en el Trabajo en CSC de conformidad con las disposiciones normativas vigentes.</t>
  </si>
  <si>
    <t>Ejecutar y hacer seguimiento al cronograma de actividades señaladas  en el programa SGSST</t>
  </si>
  <si>
    <t>Articular acciones con la ARL y COPASS de la Entidad para garantizar la ejecución del programa SGSST al interior de la entidad.</t>
  </si>
  <si>
    <t>Durante el primer trimestre se realizaron las siguientes actividades programadas en el plan de Seguridad y Salud en el Trabajo:  aplicación de encuesta de perfil sociodemográfico, taller de desórdenenes musculo-esqueléticos (pausas activas), capacitación COPASST detección de peligros,  capacitación funcionarios y contratistas CUIDEMOS NUESTRA COLUMNA VERTEBRAL,  HABITOS Y ESTILOS DE VIDA SALUDABLE,  cumpliendo con lo ejecutado.</t>
  </si>
  <si>
    <t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t>
  </si>
  <si>
    <t>En este trimestre se programaron 10 actividades de las cuales se ejecutaron 9; las actividades ejecutadas fueron las siguientes:  Convocatoria Comité de Convivencia, medición niveles de iluminación, taller de desórdenes musculo-esqueléticos (pausas activas), capacitación COPASST investigación de incidentes y accidentes,  capacitación Comité de Convivencia roles y funciones,  capacitación funcionarios Liderazgo y Relaciones Sociales en el Trabajo,  estilos de vida saludable,  capacitación brigadistas Concientización y compromiso de ser birgadista, capacitación funcionarios en la Sala Amiga de la Familia Lactante (SAFL). La actividad que no se ejecutó fué la actualización de la matriz de peligros debido a problemas en la plataforma de la ARL para realizar la designación del proveedor, se tiene proyectado realizarla en el tercer trimestre 2024.</t>
  </si>
  <si>
    <t>Subgerente Administrativa y Financiera
Técnico operativo TH</t>
  </si>
  <si>
    <t>Seguimiento al cumplimiento del cronograma de liquidación de nómina de funcionarios</t>
  </si>
  <si>
    <t xml:space="preserve">Liquidación de Nómina </t>
  </si>
  <si>
    <t>Aplicación correcta y oportuna de novedades en liquidación de nómina</t>
  </si>
  <si>
    <t>Novedades presentadas dentro de los tiempos del cronograma / Total de novedades atendidas en el periodo</t>
  </si>
  <si>
    <t xml:space="preserve">Talento humano </t>
  </si>
  <si>
    <t>Talento humano e integridad</t>
  </si>
  <si>
    <t xml:space="preserve">El seguimento a la nómina de acuerdo con el cronograma establecido mediante memorando  No. 002 de  fecha  25 de enero 2024 se fijaron las siguientes fechas de ejecución: Enero 31, febrero 26 y marzo 26 de 2024, lo cual se cumplió mensualmente durante el primer trimestre 2024. Para el primer trimestre 2024 fueron entregadas 10 incapacidades en total, de las cuales 3 fueron allegadas después de haberse liquidado la nómina, razón por la cual no fueron ingresadas dentro de los términos establecidos generando así un cumplimiento del 17,5% de la meta establecida. </t>
  </si>
  <si>
    <t>El seguimiento a la nómina durante el primer trimestre de 2024 se realizó según lo planificado, cumpliendo con las fechas establecidas. No se presentaron solicitudes que afentaran el pago de acuerdo a lo programado.</t>
  </si>
  <si>
    <t xml:space="preserve">El seguimiento a la nómina de acuerdo con el cronograma establecido mediante memorando  No. 002 de  fecha  25 de enero 2024 mediante el cual se fijaron las siguientes fechas de ejecución: abril 26, mayo 27 y junio 26 de 2024, lo cual se cumplió mensualmente durante el segundo trimestre 2024. Para el segundo trimestre 2024 fueron entregadas e ingresadasa al sistema, ocho (8) incapacidades. Por otra parte, se registron 14 ingresos y 10 retiros de personal sumando un total de 32 novedades. Se generó un cumplimiento del 25% de la meta establecida. </t>
  </si>
  <si>
    <t>Subgerente Administrativa y Financiera
Tecnico operativo TH</t>
  </si>
  <si>
    <t>*Subgerencia Administrativo y Financiero. 
Oficina de TH</t>
  </si>
  <si>
    <t>Realizar trámite de recobro de incapacidades ante las EPSs</t>
  </si>
  <si>
    <t>Reporte mensual de recobros ante EPS.</t>
  </si>
  <si>
    <t>Hacer seguimiento al trámite de recobro de incapacidades ante las EPSs</t>
  </si>
  <si>
    <t xml:space="preserve">Número de incapacidades trámitadas ante EPS *100/ Número de incapacidades radicadas en oficina </t>
  </si>
  <si>
    <t>Se recibieron dos (02) incapacidades médicas para recobro en el mes de enero, dos (02) en febrero  y tres (03) en marzo de 2024;  las cuales se radicaron debidamente ante las EPS y ARL correspondientes.</t>
  </si>
  <si>
    <t>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t>
  </si>
  <si>
    <t>Se recibieron ocho (08) incapacidades médicas para recobro, en el mes de abril cuatro (4) en mayo dos (02) y en junio de 2024 dos(2), las cuales se radicaron debidamente ante las EPS y ARL correspondientes.</t>
  </si>
  <si>
    <t>Subgerente Administrativa y Financiera
Profesional Especializado</t>
  </si>
  <si>
    <t>Realizar las evaluaciones de desempeño y de rendimiento laboral de la CSC</t>
  </si>
  <si>
    <t>Matriz consolidación de seguimiento a evaluaciones de desempeño</t>
  </si>
  <si>
    <t>Seguimiento a las evaluaciones de desempeño y de rendimiento laboral de la CSC</t>
  </si>
  <si>
    <t xml:space="preserve">No. de seguimientos realizados*100 / número de seguimientos requeridos
</t>
  </si>
  <si>
    <t xml:space="preserve">Se  realizó el acompañamiento a cada Jefe para la calificación definitiva y la concertación de los objetivos correspondientes a los funcionarios de cada área y se solicitó mediante correo a los funcionarios  de carrera subir a la plataforma de la CNSC (EDL)  las respectivas evidencias.  La evaluación a los funcionarios se lleva a cabo en el mes de enero y en el mes de julio de cada año. </t>
  </si>
  <si>
    <t>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t>
  </si>
  <si>
    <t>El registro de 1 seguimiento para este trimestre es atípico y se dejó establecido, como quiera que se previo el ingreso de personal sujeto a evaluación de desempeño a partir del  mes de marzo de 2024, con ocasión de la expedición de listas de elegibles, lo cual genera este proceso para evaluación de periodo de prueba.</t>
  </si>
  <si>
    <t>Realizar seguimiento al autodiagnóstico de Talento Humano fortaleciendo las rutas con menor calificación</t>
  </si>
  <si>
    <t>Seguimiento Autodiagnóstico Talento Humano</t>
  </si>
  <si>
    <t>Fortalecer la ruta del autodiagnostico de talento humano con menor calificación</t>
  </si>
  <si>
    <t>Resultado de la calificación final del autodiagnóstico &gt; Resultado de la calificación del autodiagnostico del año anterior (79.5%)</t>
  </si>
  <si>
    <t>Calificación</t>
  </si>
  <si>
    <t>79.5</t>
  </si>
  <si>
    <t>Autodiagnóstico 2023</t>
  </si>
  <si>
    <t>&gt;80</t>
  </si>
  <si>
    <t>Se realizó la medición de autodiagnóstico en el  último trimestre de 2023 para tener en cuenta la medición  para el FURAG del 2024.</t>
  </si>
  <si>
    <t>Para este trimestre el indicador no tenía nada programado, sin embargo, se evidencia que los puntajes obtenidos en la Ruta del Servicio y la Ruta de la Felicidad indican que hay oportunidades significativas para mejorar en estas áreas.</t>
  </si>
  <si>
    <t>Se verifica cronograma de capacitación donde se evidencian reinducciones para el tercer y cuarto trimestre. (ver cronograma de capacitacion)</t>
  </si>
  <si>
    <t>Subgerente Administrativa y Financiera
Profesional Especializado
Asesor de Gerencia
(Grupo de Planeación)</t>
  </si>
  <si>
    <t>*Subgerencia Administrativa y Financiera. 
Oficina de TH
Gerencia
Planeación</t>
  </si>
  <si>
    <t>Suscripción de los acuerdos de gestión y seguimiento a su cumplimiento</t>
  </si>
  <si>
    <t xml:space="preserve">Acuerdos de Gestión </t>
  </si>
  <si>
    <t>Seguimiento al cumplimiento de los acuerdos de gestión suscritos</t>
  </si>
  <si>
    <t>No. de seguimientos realizados *100/ Seguimientos programados</t>
  </si>
  <si>
    <t>Se realizó seguimiento a los acuerdos de gestión al  segundo semestre de 2023, la evidencia está en  la página de la entidad. En cuanto al año  2024 dichos acuerdos están en proceso de elaboración y  el seguimiento se realiza semestralmente.</t>
  </si>
  <si>
    <t>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t>
  </si>
  <si>
    <t>Se verificó que se hubieran suscrito los acuerdos de gestión para la vigencia 2024, los cuales reposan en el área de planeación y se encuentran pendientes de publicar por pagina WEB de la Entidad.</t>
  </si>
  <si>
    <t>Asignando los recursos necesarios</t>
  </si>
  <si>
    <t>Apoyar a la entidad en la consolidación oportuna de la información Presupuestal y Contable.</t>
  </si>
  <si>
    <t>APOYO
Gestión Financiera</t>
  </si>
  <si>
    <t>*Subgerente Administrativo y Financiero. 
*Director Técnico de Contabilidad y Presupuesto</t>
  </si>
  <si>
    <t>Subgerencia Administrativa y Financiera
Dirección de Presupuesto y Contabilidad</t>
  </si>
  <si>
    <t xml:space="preserve">Generar información financiera a la alta gerencia necesaria para la Administración del Presupuesto de manera eficiente. </t>
  </si>
  <si>
    <t xml:space="preserve">Porcentaje de ejecución presupuesto de Ingresos </t>
  </si>
  <si>
    <t>Verificar el comportamiento del presupuesto en cuanto al recaudo con el fin de determinar  el porcentaje  en cada trimestre</t>
  </si>
  <si>
    <t>Valor Recaudado Trimestre  / Valor Proyectado en el trimestre * 100</t>
  </si>
  <si>
    <t>Gestión presupuestal - eficiencia del gasto público</t>
  </si>
  <si>
    <t>De acuerdo al PAC del año 2024 se tenía programado  recaudar ingresos por valor de $ 11.655.688.070.00 y solo se recaudò presupuestalmente la suma de $ 8.802.079.275, lo que significa que no se cumplió el tope de recaudo durante el primer trimestre 2024.</t>
  </si>
  <si>
    <t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</si>
  <si>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De acuerdo al PAC del año 2024 se tenía programado  recaudar ingresos por valor de $ 12.080.971.477 y solo se recaudò presupuestalmente la suma de $ 10.075.361.638, lo que significa que no se cumplió el tope de recaudo durante el segundo trimestre 2024,</t>
  </si>
  <si>
    <t>Porcentaje de ejecución presupuesto de Gastos</t>
  </si>
  <si>
    <t>Verificar el comportamiento del presupuesto en cuanto al gasto con el fin de determinar  el porcentaje  en cada trimestre</t>
  </si>
  <si>
    <t>Valor Ejecutado gastos Trimestre  / Valor Proyectado gastos en el trimestre * 100</t>
  </si>
  <si>
    <t>De acuerdo con el PAC del 2024 se tenía programado ejecutar gastos por valor de $ 11.655.688.070.00 y solo se ejecutó durante el primer trimestre  la suma de $ 4.293.116.387,83 lo que significa que hubo austeridad en la ejecución del gasto durante el primer trimestre 2024.</t>
  </si>
  <si>
    <t>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t>
  </si>
  <si>
    <t>De acuerdo con el PAC del 2024 se tenía programado ejecutar gastos  por valor de $  12.080.971.477 y solo se ejecutò durante el primer trimestre  la suma de $ 4.866.735.668, lo que significa que hubo austeridad en la ejecución del gasto durante el segundo trimestre 2024.</t>
  </si>
  <si>
    <t xml:space="preserve">Generar y reportar la Información financiera y presupuestal a los entes de control y de fiscalización de manera oportuna a través de las plataformas oficiales. </t>
  </si>
  <si>
    <t xml:space="preserve"> Elaboración de Informes Contables y Presupuestales rendidos a los entes de control con periodicidad  - trimestral /Semestral y anual</t>
  </si>
  <si>
    <t>Reportar número de Informes tanto contables como presupuestales trimestralmente</t>
  </si>
  <si>
    <t xml:space="preserve">No. de  informes presentados trimestralmente / No. de informes proyectados trimestralmente  * 100
</t>
  </si>
  <si>
    <t>Calendario Tributario</t>
  </si>
  <si>
    <t>Se remitieron informes a los entes de control tales como el Chip/Cuipo/CGN/Contraloría Departamental /Secretaría de Hacienda/Planeación Departamental; correspondiente al primer trimestre del  2024.</t>
  </si>
  <si>
    <t>La remisión de informes a los entes de control durante el primer trimestre de 2024 se ha realizado de manera adecuada y oportuna, cumpliendo con los requisitos establecidos y asegurando la transparencia y responsabilidad en la gestión de la entidad.</t>
  </si>
  <si>
    <t>Se remitieron informes a los entes de control tales como el Chip/Cuipo/CGN/Contraloría Departamental /Secretaría de Hacienda/Planeación Departamental; correspondiente al segundo trimestre del  2024.</t>
  </si>
  <si>
    <t xml:space="preserve">Elaborar las conciliaciones bancarias  que se ajusten a los procedimientos establecidos  institucionalmente. </t>
  </si>
  <si>
    <t>Conciliaciones Bancarias</t>
  </si>
  <si>
    <t>Reflejar la razonabilidad de los movimientos bancarios en los libros contables.</t>
  </si>
  <si>
    <t>No. de conciliaciones Bancarias /No. de conciliaciones depuradas mensualmente * 100</t>
  </si>
  <si>
    <t>Porcentual</t>
  </si>
  <si>
    <t>Las conciliaciones bancarias se realizan mensualmente con fecha de corte al mes inmediatamente anterior en sinergia con el área de tesorería de la Entidad.</t>
  </si>
  <si>
    <t>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t>
  </si>
  <si>
    <t>Las conciliaciones bancarias se realizan mensualmente con fecha de corte al mes inmediatamente anterior en sinergia con el área de Tesorería de la Entidad.</t>
  </si>
  <si>
    <t>*Subgerente Administrativo y Financiero. 
*Tesorero General</t>
  </si>
  <si>
    <t>Subgerencia Administrativa y Financiera
Tesorería</t>
  </si>
  <si>
    <t xml:space="preserve">Registrar en el sistema los recaudos provenientes de las diferentes líneas de crédito con que cuenta la entidad, para garantizar el proceso de desgloce y conciliaciones </t>
  </si>
  <si>
    <t>Registro de ingresos mensual</t>
  </si>
  <si>
    <t xml:space="preserve">Suministrar información de recaudo para la toma de determinaciones administrativas y financieras. </t>
  </si>
  <si>
    <t>Valor recaudo mensual / presupuesto aprobado * 100</t>
  </si>
  <si>
    <t>Resultados 2023</t>
  </si>
  <si>
    <t>PAC</t>
  </si>
  <si>
    <t>El cumplimiento del 71% del primer trimestre 2024 obedece a la diferencia entre el PAC y el Recaudo Tesoral correspondiente a la afectación que tanto los créditos rotativos como unificados representa para el presupuesto pero NO para los bancos.</t>
  </si>
  <si>
    <t>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</si>
  <si>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El cumplimiento del 20,12% del segundo trimestre 2024 obedece a la diferencia entre el PAC y el Recaudo Tesoral especialmente por la armonizacion del presupuesto y desembolso de créditos, especialmente rotativos.</t>
  </si>
  <si>
    <t xml:space="preserve">Registrar en el sistema los egresos correspondiente a las obligaciones contraidas por la entidad. </t>
  </si>
  <si>
    <t>Registro de egresos mensual</t>
  </si>
  <si>
    <t xml:space="preserve">Suministrar información de egresos para la toma de determinaciones administrativas y financieras. </t>
  </si>
  <si>
    <t>Valor egresos mensual / presupuesto aprobado * 100</t>
  </si>
  <si>
    <t>El resultado del 28% del primer trimestre 2024 obedece a que  en esta vigencia únicamente se han dado trámite a créditos desde mediados de marzo hasta mediados de abril en razón de la armonización presupuestal del departamento haciendose necesaria de manera urgente la reactivación de los mismos.</t>
  </si>
  <si>
    <t>Lograr el 6.69% de la meta, evidencia la necesidad de generar acciones correctivas para asegurar la reactivación y continuidad en el otorgamiento de los créditos con el fin de implementar la ejecución del presupuesto.</t>
  </si>
  <si>
    <t xml:space="preserve">El resultado del 9,59% en los egresos del segundo trimestre 2024 obedece al aumento en la contratación de personal y liquidación de prestaciones sociales   </t>
  </si>
  <si>
    <t>APOYO
Gestión Jurídica</t>
  </si>
  <si>
    <t>Jefe de la Oficina Jurídica</t>
  </si>
  <si>
    <t>Oficina Asesora Jurídica</t>
  </si>
  <si>
    <t xml:space="preserve">Impulsar la actividad procesal de las obligaciones que se  encuentren en cobro jurídico  entregadas a los abogados externos. </t>
  </si>
  <si>
    <t>Supervisar  la gestión jurídica  de las obligaciones entregadas a los abogados para el cobro jurídico</t>
  </si>
  <si>
    <t>Obtener a través del cobro jurídico  recursos económicos por recuperación de cartera en etapa jurídica</t>
  </si>
  <si>
    <t xml:space="preserve">Número de obligaciones  con  mínimo de una actuación procesal y/o administrativa
---------------------------------------*x 100
 Número de obligaciones entregadas a los abogados para el cobro jurídico.
</t>
  </si>
  <si>
    <t>Es el número de  obligaciones con impulso procesal</t>
  </si>
  <si>
    <t>Bimestral</t>
  </si>
  <si>
    <t>Defensa jurídica</t>
  </si>
  <si>
    <t>Durante este periodo se  ha estado en el proceso de empalme de entrega y recibo de las demandas que cursan en los diferentes juzgados,  como quiera que  el dia 20 de diciembre del 2023 se terminó  el contrato de prestacion de servicios profesionales No.22-068 de representación judicial suscrito entre la Corporación Social de Cundinamarca y la empresa Scola Abogados S.A.S, ante lo cual en el mes de enero del 2024 se inició el proceso de entrega y recibo de 2.300 obligaciones en diferentes estados procesales , ante lo cual se procedió a  cotejar y revisar uno a uno con la plataforma Novasoft para determinar si las obligaciones estan canceladas o nó  y se estaban cumpliendo o nó con  los acuerdos de pago que pudieron haber suscrito los demandados.
Es de precisar que al terminar el contrato No.22-068,  el dia 29 de diciembre  del 2023 se contrató  la representación judicial de dichos procesos con la persona natural LIZA LORETHY  LOZANO TORRES, quien suscribió el contrato No.23-105. 
Durante  el periodo comprendido entre el 1 de enero al 14 de enero del 2024  no hubo representación judicial, tan solo la dra Sandra Hoyos Acosta fue  nombrada mediante resolución No.000042 del 10 de enero del 2024, y posesionada mediante acta No.000049 del 15 de enero del 2024, quien  una vez posesionada, procedió a efectuar  un plan de contingencia  en aras  de verificar  el estado de  los diferentes procesos ante lo cual se  contrató la prestacion de servicios de apoyo a la supervisión,justamente para efectuar el seguimiento, control y vigilancia.También  durante esta gestión fueron escaneados las carpetas fisicas de los diferentes procesos con el ánimo de  entregar a la nueva empresa dicha información y que los originales  queden en custodia de  la entidad. 
El 21 de  marzo del 2024,fueron entregadas 622 poderes a  la profesional  LIZA LORETHY  LOZANO TORRES para efectuar  la representacion judicial, cuyo anexo No. 1 se allega. 
 Este contrato fue cedido el dia  16 de abril del 2024 a la empresa  MYM  ABOGADOS  S.A.S. El  dia  21 de mayo del 2024,la Oficina Asesora Juridica efectuó entrega de 1318 poderes para la representación judicial a dicha empresa.
La profesional Gloria  Cecilia Rodriguez Valencia allega informe de  gestión y 28  requerimientos, con el anexo No.2.</t>
  </si>
  <si>
    <t xml:space="preserve">Fueron entregados 1600 procesos y se les efectúo al contratista 1600 requerimientos </t>
  </si>
  <si>
    <t>APOYO
Gestión Juridica</t>
  </si>
  <si>
    <t>Realizar seguimientos mensuales a la implementación de la Politica del Plan de Prevención del Daño Antijurídico.</t>
  </si>
  <si>
    <t>Supervisión al seguimiento del daño antijurídico en el comité de Conciliación y defensa judicial</t>
  </si>
  <si>
    <t>Evitar el daño antijurídico</t>
  </si>
  <si>
    <t>Número de informes realizados / No de informes programados</t>
  </si>
  <si>
    <t>Manual de la política del daño antijuridico y sus lineamientos</t>
  </si>
  <si>
    <t>El 11 de julio del 2024 se entregará el primer informe de la gestión realizada por el Comité de Conciliación y Defensa Judicial correspondiente 
al primer semestre del 2024 
El 16 de enero del 2025 se entregará el segundo informe de la gestión realizada por el Comité de Conciliación y Defensa Judicial correspondiente 
al segundo semestre del 2024</t>
  </si>
  <si>
    <t>El presente indicador será evaluado en el segundo trimestre.</t>
  </si>
  <si>
    <t xml:space="preserve">El 10 de julio del 2024 se entregó al Comité de Conciliación y Defensa Judicial el primer informe de la gestión y de ejecución de  decisiones realizada por el mismo correspondiente al primer semestre del 2024  es decir desde el 1 de enero al 30 de junio del 2024, el cual se remite con el presente  informe y  a su vez fue aprobado en la misma fecha  por los integrantes del comité.El dia 18 de julio del 2024 fue enviado dicho informe a la Gerencia General. </t>
  </si>
  <si>
    <t>Marcar en Novasoft los casos recibidos por el Proceso de Cartera que superen los 91 días para  créditos de consumo y 151 a los créditos hipotecarios</t>
  </si>
  <si>
    <t xml:space="preserve">Marcación de los casos en estado Jurídico </t>
  </si>
  <si>
    <t>Marcar y notificar oportunamente a la Firma externa de los casos en estado Jurídico</t>
  </si>
  <si>
    <t>Número de casos marcados y enviados a la firma externa / Número de casos recibidos por el proceso de cartera</t>
  </si>
  <si>
    <t xml:space="preserve">Indicador Nuevo </t>
  </si>
  <si>
    <t xml:space="preserve">Mensual </t>
  </si>
  <si>
    <t>Este indicador fue creado el dia 29 de abril del 2024 en el El Comité Institucional de Gestión y Desempeño, motivo por el cual no se puede reportar la información solicitada, como quiera que  el indicador corresponde al primer trimestre  de la vigencia del 2024 es decir de enero a  marzo de la vigencia del 2024.
Sinembargo  el 21 de marzo del  2024,fueron entregados 622 poderes para continuar el tramite procesal  a la contratista, los cuales estan registrados en  la Plataforma Novasoft con la marcación  en juridica</t>
  </si>
  <si>
    <t>La Corporación Social de Cundinamarca mejora el Sistema de Gestión de Calidad y asegura su integración con el Modelo Integrado de Planeación y
Gestión</t>
  </si>
  <si>
    <t>PROCESO DE EVALUACIÓN
Gestión del Mejoramiento</t>
  </si>
  <si>
    <t>Jefe de oficina de control interno</t>
  </si>
  <si>
    <t>Oficina de Control Interno</t>
  </si>
  <si>
    <t xml:space="preserve">Planear y ejecutar el Plan anual de auditorías interna Integral de acuerdo al cronograma </t>
  </si>
  <si>
    <t>Ejecución del Plan Anual de Auditorías</t>
  </si>
  <si>
    <t xml:space="preserve">Cumplir con la planeación propuesta en el Plan anual de auditorías interna Integral </t>
  </si>
  <si>
    <t xml:space="preserve">Número de Auditorías realizadas *100/ Número de Auditorías programadas </t>
  </si>
  <si>
    <t>eficacia</t>
  </si>
  <si>
    <t>Plan de auditoría aprobado 2024</t>
  </si>
  <si>
    <t>Auditorías realizadas en el año 2024</t>
  </si>
  <si>
    <t xml:space="preserve"> - </t>
  </si>
  <si>
    <t>Control interno</t>
  </si>
  <si>
    <t>El Plan Anual de Auditoría para la viegencia 2024 al 2023 fue aprobado mediante Comité Institucional de Coordinación de Control Interno el 24 de Abril del 2024. el cual se encuentra publicado en la página web de la entidad. https://csc.gov.co/wp-content/uploads/2024/05/Acta-No-1-Aprobacion-del-Plan-Anual-de-Auditoria-2024-al-2023.pdf</t>
  </si>
  <si>
    <t>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t>
  </si>
  <si>
    <t>Realizar los seguimientos a los planes de mejoramiento aprobados por la Contraloría Departamental</t>
  </si>
  <si>
    <t>Planes de Mejoramiento de la Corporación Social de Cundinamarca</t>
  </si>
  <si>
    <t>Realizar los seguimientos a los Planes de Mejoramiento dando cumplimiento a los términos de la Resolución 0278 de 2021 de la Contraloría Departamental</t>
  </si>
  <si>
    <t>Número de avances al plan de mejoramiento realizados dentro del término * 100 / Número de avances al Plan de mejoramiento remitidos dentro del término.</t>
  </si>
  <si>
    <t>Plan de mejoramiento entregado en 2023</t>
  </si>
  <si>
    <t>Auditoría Integral de la Contraloría de Cundinamarca 2023</t>
  </si>
  <si>
    <t xml:space="preserve">Semestral </t>
  </si>
  <si>
    <t>Esta actividad se realiza de manera semestral por tal motivo se verá reflejeda en el segundo cuatrimestre del 2024</t>
  </si>
  <si>
    <t>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t>
  </si>
  <si>
    <t>Presentar los informes de ley  por parte de la OCI, cumpliendo con la normatividad aplicable Decreto 648  del 19 de abril  de 2017,  en materia de seguimientos  por parte de la OCI</t>
  </si>
  <si>
    <t xml:space="preserve">Cumplir con los 9 informes que debe publicar en la página web de la entidad </t>
  </si>
  <si>
    <t>Verificar el cumplimiento de la publicación y/o la presentación de los informes de ley  por parte de la OCI</t>
  </si>
  <si>
    <t xml:space="preserve">Informes publicados en la página web de la entidad  * 100 / cronograma de informes internos  </t>
  </si>
  <si>
    <t>eficiencia</t>
  </si>
  <si>
    <t>Informes de ley publicados en la pagina web</t>
  </si>
  <si>
    <t>Publicación de los informes en la página web</t>
  </si>
  <si>
    <t xml:space="preserve">trimestral </t>
  </si>
  <si>
    <t>La Oficina de Control Interno presentó  los siguientes informes de ley en el primer trimestre: Derechos de Autor, Austeridad en el gasto, Elvaluación por Dependencias 2023, Seguimiento a la matriz de riesgos, aprobación del Plan y Programa de Auditorias 2024 al 2023. Las evidencias se encuentran el página web de la entidad.</t>
  </si>
  <si>
    <t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t>
  </si>
  <si>
    <t>La Corporación Social de Cundinamarca mejora el Sistema de Gestión de Calidad y asegura si integración con el Modelo Integrado de Planeación y
Gestiónntes del MECI</t>
  </si>
  <si>
    <t>Seguimiento a los resultados de la Auditoría interna de la CSC</t>
  </si>
  <si>
    <t>Resultados de la Auditoría Interna</t>
  </si>
  <si>
    <t>Realizar  seguimiento a las acciones de mejora y correctivas de la entidad</t>
  </si>
  <si>
    <t>Número de seguimientos realizados * 100 / Número de No conformidades y observaciones</t>
  </si>
  <si>
    <t>Resultados Auditoria año anterior</t>
  </si>
  <si>
    <t xml:space="preserve">Cumplir con la normatividad vigente  </t>
  </si>
  <si>
    <t>Se solicitó via correo electronico a todas las dependencias el envio de los avances realizados a las acciones correctivas y de mejora suscritas como resultado de las auditorias internas realizadas en la vigencia 2023, asi como tambien se les realizó seguimiento desde el comité Institucional de Coordinacion de Control Interno.</t>
  </si>
  <si>
    <t>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t>
  </si>
  <si>
    <t>Realizar Campañas de Autocontrol que armonicen la 7ma dimensión de MIPG</t>
  </si>
  <si>
    <t>Campañas de Autocontrol al año</t>
  </si>
  <si>
    <t xml:space="preserve">Sensibilizar a la CSC con Campañas de Autocontrol (mínimo 4). </t>
  </si>
  <si>
    <t>Número de campañas de autocontol realizadas  * 100 /Número de campañas de autocontrol programadas.</t>
  </si>
  <si>
    <t>el numero de campañas realizadas en el 2023</t>
  </si>
  <si>
    <t>Se envió la primera campaña de auto control a los correos de todos los correos de la entidad el día 23 de febrero del 2024. Se adjunta pantallazo.</t>
  </si>
  <si>
    <t>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t>
  </si>
  <si>
    <t>Realizar seguimiento a la plataforma SIA OBSERVA</t>
  </si>
  <si>
    <t>Seguimiento a la plataforma SIA OBSERVA y publicado en la pagina de la CSC</t>
  </si>
  <si>
    <t>Hacer seguimientos a los procesos contractuales subidos en la plataforma SIA OBSERVA</t>
  </si>
  <si>
    <t>No. Seguimiento a los contratos reportados *100/No. De contratos reportados</t>
  </si>
  <si>
    <t>Primer seguimiento año 2023</t>
  </si>
  <si>
    <t xml:space="preserve">Números de contratos elaborados y ejecutados hasta la fecha </t>
  </si>
  <si>
    <t>Se realizó revisión a la plataforma SIA observa de lo cual se deja pantallazo con las respectivas de recomendación a la oficina de contratación. Se adjunta pantallazo.</t>
  </si>
  <si>
    <t>El grupo de Planeación como segunda línea de defensa, no logro evidenciar los seguimientos realizados por la oficina de Control Interno a esta plataforma, teniendo en cuenta que con corte al 12 de enero de 2024, no se encuentran evidencias de los mismos en la siguiente ruta de la calidad: \\Mainserver2\sgc\01_PROCESOS ESTRATEGICOS\DIRECCIONAMIENTO ESTRATÉGICO\05_PLANES\PLAN DE ACCION\2023\EVIDENCIAS\2. TRIMESTRE\13. GESTION DEL MEJORAMIENTO</t>
  </si>
  <si>
    <t>Procesos</t>
  </si>
  <si>
    <t>Plan de acción 2023</t>
  </si>
  <si>
    <t xml:space="preserve">Direccionamiento Estrategico </t>
  </si>
  <si>
    <t>Atención al Cliente</t>
  </si>
  <si>
    <t>Bienestar</t>
  </si>
  <si>
    <t>Crédito y Cartera</t>
  </si>
  <si>
    <t>Gestión Contractual</t>
  </si>
  <si>
    <t>Gestión de la Información</t>
  </si>
  <si>
    <t xml:space="preserve">Gestión de Recursos Físicos </t>
  </si>
  <si>
    <t>Gestión del Talento Humano</t>
  </si>
  <si>
    <t>Gestión Financiera</t>
  </si>
  <si>
    <t>Gestión Jurídica</t>
  </si>
  <si>
    <t xml:space="preserve">Gestion del mejoramiento </t>
  </si>
  <si>
    <t xml:space="preserve">Cumplimiento del Plan de Acción </t>
  </si>
  <si>
    <t>Cumplimiento en % 1er trimestre</t>
  </si>
  <si>
    <t>Cumplimiento en % 2do trimestre</t>
  </si>
  <si>
    <t>Cumplimiento % en 3er trimestre</t>
  </si>
  <si>
    <t>Cumplimiento % en 4to trimestre</t>
  </si>
  <si>
    <t>Total al 31 diciembre-2023</t>
  </si>
  <si>
    <t>PROCESO DE DIRECCIONAMIENTO ESTRATEGICO</t>
  </si>
  <si>
    <t>PLANEACIÓN</t>
  </si>
  <si>
    <t xml:space="preserve">Nombre de la actividad </t>
  </si>
  <si>
    <t>1er trimestre</t>
  </si>
  <si>
    <t>2do trimestre</t>
  </si>
  <si>
    <t>3er trimestre</t>
  </si>
  <si>
    <t>4to trimestre</t>
  </si>
  <si>
    <t>Cumplimiento a diciembre del 2024</t>
  </si>
  <si>
    <t>Seguimiento 1er trimestre</t>
  </si>
  <si>
    <t>Seguimiento 2do trimestre</t>
  </si>
  <si>
    <t>Seguimiento 3er trimestre</t>
  </si>
  <si>
    <t>Seguimiento 4to trimestre</t>
  </si>
  <si>
    <t>Cumplimiento x trimestre</t>
  </si>
  <si>
    <t>PROCESO DE ATENCIÓN AL CLIENTE</t>
  </si>
  <si>
    <t>PROCESO DE BIENESTAR</t>
  </si>
  <si>
    <t>OBSERVACIONES Y RECOMENDACIONES</t>
  </si>
  <si>
    <t>1er. trimestre</t>
  </si>
  <si>
    <t>2do. trimestre</t>
  </si>
  <si>
    <t>3er. trimestre</t>
  </si>
  <si>
    <t>4to. trimestre</t>
  </si>
  <si>
    <t>PROCESO DE CRÉDITO Y CARTERA</t>
  </si>
  <si>
    <t>PROCESO DE GESTIÓN CONTRACTUAL</t>
  </si>
  <si>
    <t>PROCESO DE GESTIÓN DE LA INFORMACIÓN</t>
  </si>
  <si>
    <t>PROCESO DE GESTIÓN DE RECURSOS FÍSICOS</t>
  </si>
  <si>
    <t>PROCESO DE GESTIÓN DE TALENTO HUMANO</t>
  </si>
  <si>
    <t>PROCESO DE GESTIÓN FINANCIERA</t>
  </si>
  <si>
    <t>PROCESO DE GESTIÓN JURÍDICA</t>
  </si>
  <si>
    <t>PROCESO DE GESTION DEL MEJORAMIENTO</t>
  </si>
  <si>
    <t>Cumplimiento a diciembre del 2023</t>
  </si>
  <si>
    <t>Se realizó soporte de mantenimiento correctivo a los equipos de la red y soporte a los usuarios. Se encuentran documentados 8 requerimientos a novasoft</t>
  </si>
  <si>
    <t>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t>
  </si>
  <si>
    <t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t>
  </si>
  <si>
    <t>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t>
  </si>
  <si>
    <t>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t>
  </si>
  <si>
    <t>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t>
  </si>
  <si>
    <t>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t>
  </si>
  <si>
    <t>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t>
  </si>
  <si>
    <t>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t>
  </si>
  <si>
    <t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</si>
  <si>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t>
  </si>
  <si>
    <t>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</si>
  <si>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Lograr el 9.59% de la meta, evidencia la necesidad de generar acciones correctivas para asegurar la reactivación y continuidad en el otorgamiento de los créditos con el fin de implementar la ejecución del presupuesto.</t>
  </si>
  <si>
    <t>El Plan Anual de Auditoría 2024, vigencia auditada 2023, fue aprobado mediante Comité Institucional de Coordinación de Control Interno el 24 de Abril del 2024, el cual inicia en el mes de julio 2024.</t>
  </si>
  <si>
    <t>El 11 de junio de 2024 se presentó a la Contraloria de Cundinamarca el informe semestral de avance Plan de Mejoramiento - auditoría de cumplimiento vigencia 2022. Se adjunta evidencia.</t>
  </si>
  <si>
    <t xml:space="preserve">La OCI no subió el informe de PQRS debido a que la Oficina de Atención al Cliente no presentó la información respectiva para el cargue de dicha información en cabeza de Wilson Collazos. </t>
  </si>
  <si>
    <t>El seguimiento quedó plasmado desde las auditorías internas que se realizaron de acuerdo al cronograma de Auditorías aprobado mediante 2024.</t>
  </si>
  <si>
    <t>Se realiza el envío de la segunda campaña de autocntrol en el tercer trimestre del 2024</t>
  </si>
  <si>
    <t>Se realizó revisión a la plataforma SIA observa, se deja pantallazo con las respectivas recomendación a la oficina de contratación. Se adjunta pantallazo.</t>
  </si>
  <si>
    <t>En este trimestre, no se llevó a cabo el seguimiento de este indicador, ya que las auditorías están programadas para iniciar el 16 de julio, conforme al Plan aprobado. Por lo tanto, el seguimiento correspondiente se realizará en el próximo trimestre.</t>
  </si>
  <si>
    <t>El indicador presenta un cumplimiento del 8.33% para el primer trimestre. Se evidencia seguimiento en el mes de enero. Se sugiere al proceso generar alertas en diferentes dias de cada mes para que se cumpla el objetivo del indicador.</t>
  </si>
  <si>
    <t>El indicador presenta un cumplimiento del 16.67% para el segundo trimestre. Se evidencia seguimiento en los meses de abril y mayo. Se sugiere al proceso generar alertas en diferentes dias de cada mes para que se cumpla el objetivo del indicador.</t>
  </si>
  <si>
    <t>En el Segundo trimestre del 2024 se entregaron 440  kits  de elementos  publicitarios,  a docentes y funcionarios  del departamento de Cundinamarca, con el propósito de crear espacios  para el posicionamiento de la  Entidad y apoyar al PLAN DE DESARROLLO "MÁS QUE UN PLAN"en  beneficio de nuestros  usuarios.  Cumpliendo un 49 % de la meta esperada. Igualmente  se inició la aplicación de encuesta para conocer las necesidades de Bienestar y Capacitacion de los afiliados.</t>
  </si>
  <si>
    <t>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t>
  </si>
  <si>
    <t>En el segundo trimestre del 2024 se realizaron  visitas a tres  Entidades del Departamento  ( La Corporación  Autónoma  regional de Cundinamarca CAR,  Empresa de Licores de Cundinamarca y docentes de la  Secreatia de Educación en Bellavista. No se ha cumplido la meta porque  aún no se ha realizado contratacion de asesores comerciales.</t>
  </si>
  <si>
    <t>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t>
  </si>
  <si>
    <t>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t>
  </si>
  <si>
    <t>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t>
  </si>
  <si>
    <t>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t>
  </si>
  <si>
    <t>1 MER TRIM</t>
  </si>
  <si>
    <t>Durante los meses de abril, mayo y junio de 2024, la Corporación Social de Cundinamarca (CSC) llevó a cabo un proceso de medición de satisfacción del usuario mediante encuestas aplicadas a quienes interactuaron con sus trámites y servicios. A continuación, un resumen detallado de los resultados:
Abril: Se encuestó a 60 usuarios, siendo los servicios más solicitados: Información de créditos (20 solicitudes), radicación de créditos (11) y asesoría (10). Esto refleja una clara prioridad de los usuarios por los servicios relacionados con la gestión crediticia. Los encuestados provenían principalmente de Bogotá (18), Soacha (5) y Zipaquirá (5).
Conclusiones mes de abril:
El análisis de los resultados de las encuestas muestra que el nivel de satisfacción de los usuarios y afiliados es predominantemente alto, con el 98.8% de los encuestados indicando estar "muy satisfechos" o "satisfechos". Este dato refuerza el buen desempeño de la entidad en la calidad de sus servicios.
Más del 95% de los comentarios recogidos de los usuarios y afiliados destacan felicitaciones y agradecimientos, lo que subraya la efectividad en la atención prestada. Sin embargo, se han identificado áreas de oportunidad en aspectos críticos como los tiempos de espera en la atención, la calidad del servicio ofrecido por algunos funcionarios, y la funcionalidad de las herramientas tecnológicas utilizadas para los trámites.
Aunque se detectó que la totalidad de los usuarios encuestados están satisfechos con el producto recibido, el 1% de insatisfacción registrado en el tiempo de espera sugiere la necesidad de una evaluación más exhaustiva de los procesos operativos para asegurar una experiencia homogénea y de alta calidad para todos los usuarios.
Mayo: Un total de 25 usuarios participaron en las encuestas. Los servicios más demandados fueron la radicación de créditos (8 solicitudes) y afiliaciones (5). Este mes también destacó la importancia de los trámites relacionados con los créditos. Los usuarios encuestados provinieron mayoritariamente de Cajicá (6), Bogotá (4) y Fusagasugá (2).
Conclusiones mes de mayo:
El alto nivel de satisfacción del 75% de los encuestados confirma que los procesos de atención están funcionando adecuadamente. Sin embargo, las calificaciones de "aceptable" y "muy insatisfecho" indican que es necesario revisar áreas específicas, como los tiempos de atención y el soporte informático, para garantizar una experiencia más uniforme y satisfactoria para todos los usuarios.
Junio: Se encuestó a 24 usuarios, siendo los servicios más solicitados: radicación de créditos (10 solicitudes) e información de créditos (8). La demanda de estos servicios refuerza la necesidad de mejorar los procesos crediticios. Los encuestados provenían de Zipaquirá (3), Tenjo (2) y otros municipios.
Conclusiones mes de junio:
El nivel de satisfacción del 92% refleja que los procesos de atención al cliente están cumpliendo con las expectativas de la mayoría de los usuarios, lo que es un indicador positivo de la eficiencia del sistema. Sin embargo, el 8% de calificaciones "aceptables" pone en evidencia áreas de mejora, especialmente en lo que respecta a tiempos de respuesta y soporte tecnológico. Esto sugiere que, aunque el servicio es generalmente bien recibido, la optimización en estos aspectos podría elevar aún más la calidad y uniformidad de la experiencia del usuario, reduciendo posibles puntos de fricción.</t>
  </si>
  <si>
    <t>En el plan de medios del segundo trimestre de 2024, se plantearon un total de 8 actividades estratégicas orientadas a fortalecer la atención al cliente y consolidar la presencia de la Corporación Social de Cundinamarca (CSC) en la región. De estas actividades, se lograron ejecutar 7 con éxito durante los meses de abril, mayo y junio, demostrando un firme compromiso con la calidad y eficacia en la gestión de la comunicación y el servicio al cliente.
Las actividades realizadas incluyeron:
1.	Ajuste y diseño del plan de medios: Se revisó y actualizó el plan de medios para alinear los canales de comunicación con los objetivos estratégicos de la corporación, asegurando un enfoque integral y efectivo en la difusión de mensajes.
2.	Campaña de posicionamiento: Se implementó una campaña de posicionamiento de la CSC en alianzas estratégicas con la Lotería de Cundinamarca y la CAR, incrementando el reconocimiento y reputación de la corporación entre sus públicos clave.
3.	Aplicación de encuestas: Se desarrolló una encuesta dirigida a los usuarios para evaluar la calidad del servicio y la satisfacción con los productos ofrecidos, lo que permitió recoger datos relevantes para mejorar la atención al cliente.
4.	Diseño y producción de material informativo: Se diseñó y produjo material para los diferentes canales de información, incluyendo contenido digital e impreso, con el objetivo de mejorar la visibilidad de los servicios y productos de la CSC.
5.	Publicación del boletín institucional: Se publicó el boletín institucional trimestral, una herramienta clave para mantener informados a los afiliados y funcionarios sobre las novedades, logros y actividades de la corporación.
6.	Alianzas y convenios: Se concretaron nuevas alianzas y convenios estratégicos con entidades clave, buscando ampliar la oferta de beneficios y servicios para los afiliados.
7.	Capacitación al personal de atención al cliente: Se realizó una jornada de capacitación para el personal de atención al cliente, con el fin de mejorar sus competencias en la gestión de solicitudes y fortalecer el enfoque en la excelencia en el servicio.
La ejecución de estas acciones fue fundamental para mejorar la experiencia del usuario y consolidar la CSC como una entidad cercana y comprometida con sus afiliados, manteniendo una comunicación efectiva y un servicio de alta calidad.</t>
  </si>
  <si>
    <t>Durante los meses de abril, mayo y junio de 2024, la Corporación Social de Cundinamarca (CSC) realizó un total de 254 nuevas afiliaciones, reflejando la confianza de los funcionarios públicos en los servicios ofrecidos.
Abril: Se llevaron a cabo 88 nuevas afiliaciones. Aunque el flujo de créditos fue bajo, las vinculaciones demostraron que la CSC sigue siendo una opción confiable y valorada en la región.
Mayo: El número de 114 nuevas afiliaciones mostró un crecimiento significativo respecto al mes anterior, consolidando la reputación de la CSC como una entidad preferida entre los funcionarios públicos.
Junio: A pesar de que solo se realizaron 52 afiliaciones, las ferias de servicios organizadas en este mes permitieron acercar la oferta de la CSC a usuarios actuales y potenciales, impulsando la difusión de sus productos y servicios.</t>
  </si>
  <si>
    <t>Durante los meses de abril, mayo y junio de 2024, la Corporación Social de Cundinamarca gestionó un total de 1,143 Peticiones, Quejas, Reclamos, Sugerencias, Denuncias y Felicitaciones (PQRSDF) a través de sus canales de comunicación como correo electrónico, la plataforma Webex, WhatsApp y línea telefónica.
Abril: Se recibieron 371 PQRSDF, todas peticiones. Los principales canales fueron WhatsApp y línea telefónica (217) y el correo institucional (93). Las áreas con mayor participación fueron Cartera (45) y Créditos (28).
Mayo: Se gestionaron 308 PQRSDF, nuevamente todas peticiones. La plataforma Webex fue el canal principal (132), seguido del correo institucional (103). Las áreas más activas fueron Atención al Cliente (43) y Cartera (31).
Junio: El número de PQRSDF subió a 464, con Webex como el canal más usado (173) y el correo electrónico (123). Las áreas de Créditos (73) y Cartera (51) recibieron la mayoría de las peticiones.
En los tres meses, no se registraron quejas, reclamos, sugerencias, denuncias ni felicitaciones.</t>
  </si>
  <si>
    <t>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t>
  </si>
  <si>
    <t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t>
  </si>
  <si>
    <t>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t>
  </si>
  <si>
    <t>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t>
  </si>
  <si>
    <t>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t>
  </si>
  <si>
    <t>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t>
  </si>
  <si>
    <t>Durante este trimestre, el indicador no tenía actividades programadas. Sin embargo, se recuerda al proceso la importancia de iniciar el diligenciamiento del autodiagnóstico, con el fin de evitar posibles incumplimientos en el próximo trimestre.</t>
  </si>
  <si>
    <t>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t>
  </si>
  <si>
    <t>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t>
  </si>
  <si>
    <t>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t>
  </si>
  <si>
    <t>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t>
  </si>
  <si>
    <t xml:space="preserve">El indicador no se cumplió, debido al que el proceso no aporta evidencias de los seguimientos  a los hallazgos de la auditoria interna. </t>
  </si>
  <si>
    <t>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t>
  </si>
  <si>
    <t>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t>
  </si>
  <si>
    <t>Se realiza gestión en 252 casos.</t>
  </si>
  <si>
    <t>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t>
  </si>
  <si>
    <t>Durante el segundo trimestre, se solicitó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avance acumulado del 37.18%, cumpliendo con el indicador establecido.</t>
  </si>
  <si>
    <t>Realizar reuniones de apertura y seguimiento, asì como la presentación del reporte FURAG reflejan un compromiso claro por parte de la entidad. Continuar con la asesoría, monitoreo, y capacitación será importante para asegurar el cumplimiento del indicador.</t>
  </si>
  <si>
    <t>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t>
  </si>
  <si>
    <t>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t>
  </si>
  <si>
    <t>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t>
  </si>
  <si>
    <t>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t>
  </si>
  <si>
    <t>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t>
  </si>
  <si>
    <t>En el tercer trimestre del 2024 se realizaron 457 visitas a 62  municipios del Departamento .</t>
  </si>
  <si>
    <t>En el tercer trimestre de 2024 se giraron 17 subsidios educativos, de 30 subsidios activos. De igual forma se mediran semestralmente. En este periodo se realizó nueva convocatoria  otorgando 30 nuevos subsidios</t>
  </si>
  <si>
    <t>Durante el tercer  Trimestre de 2024 se  radicaron 818  créditos y se  desembolsaron 621 de la totalidad de créditos en trámite a la fecha, aún  no se han desembolsado en la totalidad en razón de que algunos afiliados no han legalizado documentos. Se superó la meta esperada  que era de 600</t>
  </si>
  <si>
    <t>De los 621 créditos desembolsados durante el tercer trimestre de 2024, 20 corresponde a crédito de vivienda hipotecarios de los cualeas  17 fueron desembolsados en un periodo menor a 30 dias,  (No se tiene en cuenta el tiempo de trámites externos como notariado, registro, firma de libranzas y pagarés).</t>
  </si>
  <si>
    <t>De los 621 créditos  desembolsados en el tercer  trimestre  601 corresponden  corresponden a créditos de consumo, de los cuales 311 fueron desembolsados en un término inferior a 15 días,  mientras que 290 créditos  se llevaron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</si>
  <si>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 xml:space="preserve">En el tercer trimestre de 2024, el proceso alcanzó un 77.5% de cumplimiento en la meta de visitas a municipios, realizando 62 visitas de las 80 programadas. Aunque se logró un avance, se identificó la falta de visitas a municipios en las provincias de Ubaté, Guavio y Almeidas, lo que representa una oportunidad de mejora en la cobertura territorial.
Además, se recomienda reforzar la calidad de las evidencias para asegurar que cada visita esté debidamente documentada y respaldada. </t>
  </si>
  <si>
    <t>El proceso logró girar 17 subsidios educativos durante el trimestre, lo que representa un avance parcial hacia el cumplimiento de la meta. Se revisaron y validaron los 17 subsidios girados, confirmando su correcta ejecución. Sin embargo, el indicador será medido de manera semestral, por lo que el cumplimiento final será evaluado en el próximo trimestre. Es importante mantener un seguimiento continuo a los subsidios pendientes y reforzar la planeación para garantizar el cumplimiento total de la meta semestral. Asimismo, asegurar la correcta documentación lo cual  contribuirá a la transparencia y eficacia del proceso.</t>
  </si>
  <si>
    <t>El proceso superó la meta trimestral relacionada con la colocación de créditos, con 621 créditos desembolsados frente a los 600 programados, evidenciando una gestión efectiva. Sin embargo, el cumplimiento total de las solicitudes radicadas se ve afectado por la falta de legalización de documentos por parte de algunos afiliados. Se recomienda implementar estrategias de acompañamiento y comunicación para garantizar la continuidad y eficiencia en los trámites pendientes.</t>
  </si>
  <si>
    <t>El proceso demostró una gestión eficiente de los créditos hipotecarios, alcanzando un 75% de desembolsos dentro de los plazos establecidos. Durante el tercer trimestre, se desembolsaron 15 de los 20 créditos en un periodo inferior a 30 días, destacando la agilidad del proceso.
Sin embargo, los tiempos asociados a trámites externos continúan siendo un desafío. Para mejorar la experiencia de los afiliados, se recomienda implementar estrategias de colaboración y comunicación con los actores externos, con el fin de agilizar los procedimientos y garantizar una atención más fluida y satisfactoria.</t>
  </si>
  <si>
    <t>El indicador dio como resultado del tercer trimestre un31% la oficina Asesora Jurídica debe implentar las acciones necesarias para cumplir con la meta esperada.</t>
  </si>
  <si>
    <t>El cumplimiento excelente del desglose de los recaudos recibidos en el tercer trimestre de 2024 refleja una gestión eficiente y control de los ingresos.</t>
  </si>
  <si>
    <t>El indicador  se mantuvo   respecto del trimestre anterior, debido a la gestión qe se viene desarrollando por parte del personal contratado para la gestión del cobro en estado persuasivo.</t>
  </si>
  <si>
    <t>El indicador dio como resultado del Tercer trimestre un 3%, lo que denota una disminución considerable si se tiene en cuenta  que desde Julio se reanudó el otorgamiento de creditos y la gestión de cobro que se viene realizando. cobro.</t>
  </si>
  <si>
    <t>El indicador no cumple con la meta establecida, ya que la cartera en estado jurídico alcanzó el 31%, superando en 7 puntos porcentuales lameta de matener por debajo del 24%. Este resultado evidencia la necesidad de reforzar las estrategias de recuperación de cartera y prevenir el aumento de procesos jurídicos. Se recomienda tanto al proceso de cartera como de Jurídica fortalecer sus acciones implementando medidas como la renegociación de deudas, gestión temprana de cobranza y estrategias preventivas para reducir el flujo de cartera hacia procesos jurídicos. Igualmente establecer un plan de monitoreo periódico que permita evaluar el impacto de las acciones correctivas y realizar ajustes oportunos para lograr el cumplimiento del indicador en lospróximos periódos.</t>
  </si>
  <si>
    <t>El cumplimiento del indicador en el tercer trimestre de 2024 ha sido excelente, alcanzando un 99.75% de precisión en el desglose de los recaudos recibidos. Este resultado refleja una gestión eficiente y un adecuado control de los ingresos, ya que la diferencia entre el valor recaudado y el valor desglosado es mínima, lo que evidencia un correcto proceso de conciliación y registro de los recursos. No obstante, a pesar del alto nivel de cumplimiento, se recomienda continuar fortaleciendo los mecanismos de control y verificación para garantizar que el desglose de los recaudos mantenga su precisión en el tiempo. al finalizar el trimestre quedo un valor por recaudar de: $ 23,381,081</t>
  </si>
  <si>
    <t>El indicador no cumple con la meta establecida, ya que la cartera en estado persuasivo se mantuvo en 3%, superando en 1 punto porcentual la meta del 2%. A pesar de la gestión desarrollada por el personal contratado para el cobro, no se logró reducir el porcentaje respecto al trimestre anterior, lo que evidencia la necesidad de reforzar las estrategias de cobranza. Se recomienda intensificar las acciones de seguimiento a los deudores, optimizar los mecanismos de notificación y fortalecer la comunicación para incentivar el pago oportuno, asegurando así una reducción efectiva de la cartera en estado persuasivo</t>
  </si>
  <si>
    <t>El indicador no cumple con la meta establecida, ya que la cartera en estado pre-jurídico alcanzó 3%, superando en 1 punto porcentual de la meta del 2%. Sin embargo, se observa una disminución significativa en comparación con periodos anteriores, lo que sugiere un impacto positivo de la gestión de cobro realizasa. Para mejorar estos resultados, se recomienda continuar con el fortalecimiento de las estrategias de recuperación, optimizar los procesos de cobranza y mantener un monitoreo constante para asegurar una tendencia descendente en los próximos meses.</t>
  </si>
  <si>
    <t xml:space="preserve">De los 13 contratos proyectados en el PAA para el tercer trimestre se ejecutaron 10 contratos </t>
  </si>
  <si>
    <t>En este trimestre se realizaron 39 reportes equivalentes a los meses Julio 5, Agosto 23, Septiembre 11, cumpliendo con la obligatoriedad de los 3 primeros dias de cada mes, registrando contratos suscritos.</t>
  </si>
  <si>
    <t xml:space="preserve"> Para el trimestre no se presento ninguna reevaluación de los contratos suscritos.</t>
  </si>
  <si>
    <t>El indicador cumple parcialmente con la meta establecida, alcanzando 12 de las 14 contrataciones programadas. De estas, 8 fueron ejecutadas con éxito, mientras que 4 están en seguimiento y programadas para ejecutarse en el siguiente trimestre (mantenimiento de extintores, póliza de seguros, papelería y mantenimiento correctivo y preventivo). No obstante, 2 contrataciones aún están pendientes de definir (levantamiento de infraestructura tecnológica y contrato de interdisciplinarios). Para garantizar el cumplimiento total del indicador, se recomienda continuar con el seguimiento a las contrataciones en proceso y agilizar la toma de decisiones respecto a las pendientes, asegurando que se ejecuten dentro de los plazos establecidos en el Plan Anual de Adquisiciones.</t>
  </si>
  <si>
    <t>El indicador cumple con la meta establecida, ya que se realizaron las reevaluaciones de los 14 contratos finalizados (del 039 al 051), obteniendo en su mayoría un promedio de calificación de 4. No obstante, el contrato 093 fue terminado anticipadamente y no aplicó para reevaluación. Se recomienda continuar con la evaluación rigurosa de los proveedores y establecer un mecanismo para documentar y analizar las terminaciones anticipadas, garantizando así una mejora continua en la gestión contractual.</t>
  </si>
  <si>
    <t>Plan de acción 1. No aplica para el 3er trimestre.
Plan de acción 2. Se ha solicitado en los informes y requerimientos la asignación de nuevo y mejor espacio digital, de preferencia con acceso a la nube. Actualmente no se cuenta con una buena capacidad de almacenamiento virtual (máximo 30 gigabytes) por lo cual se está utilizando este medio únicamente para temas puntuales. Se ha venido distribuyendo en tres medios de almacenamiento local la información en digital de las cajas escaneadas de archivo. Actualmente se cuenta con un equipo de cómputo con capacidad de 2 terabytes, un disco duro externo con capacidad de 1 terabyte y el equipo de cómputo asignado al archivo, con una capacidad de 300 Megabytes de almacenamiento disponible.
Plan de acción 3. Se ha venido cambiando las cajas de archivo en la bodega, tamaño X200 por tamaño x300 a fin de mejorar el almacenamiento y también aprovechar el espacio, en la bóveda se ha liberado espacio preparando archivo que se llevará a la bodega. Se viene tramitando la ampliación de un nuevo estante en la bodega a fin de poder trasmitir el archivo nuevo que se tiene proyectado producir por parte de la CSC, en la actualidad estamos a la espera de la cotización de la propietaria del predio.
Plan de acción 4. Se ha reubicado el termohigrómetro por sugerencia de control interno, dado que en la ventana estaba expuesto a que pudiera estar marcando de forma incorrecta la temperatura real, se ha pegado en la pared. A diario se viene controlando la correcta temperatura que debe estar entre 18 y 23 ºC y con una con humedad relativa promedio entre 55 y 60 %
Plan de acción 5. Se han venido realizando nuevas capacitaciones con las áreas a fin de compartir los Instrumentos archivísticos oficiales actuales como son los rótulos y formatos de la ruta de calidad, se solicitó con el área de calidad la actualización de las tablas de retención oficiales, dado que las que estaban cargadas en la ruta de calidad estaban mal digitalizadas, con páginas en orden incorrecto y algunas mal orientadas de forma vertical en lugar de su correcta visualización de forma horizontal.
Plan de acción 6. Gracias a la digitalización de los documentos, la entrega de solicitudes se puede agilizar buscando y entregando de manera electrónica los documentos requeridos en lugar de realizar desplazamiento hasta la bodega y buscar de forma manual cada carpeta. También esto permite mitigar el riesgo de pérdida de los documentos originales.
Plan de acción 7. Se han venido realizando nuevas capacitaciones con las áreas a fin de instruir a cada uno de los encargados de archivo de sus propias dependencias, con respecto a la correcta selección, foliación, preparación de documentos y el debido rotulado de carpetas y cajas, para conservación de los mismos.</t>
  </si>
  <si>
    <t xml:space="preserve">Para el tercer trimestre del año 2024, se tiene planeado realizar 4 actividades segun el cronograma: actividad 1- mantenimiento lavado de ventanales, esta actividad se cumple periodicamente mediante el contrato de aseo con la empresa  CLEAN BOGOTA en los cuatro pisos de la entidad, las Actividades 4. Revisión y Mantenimiento  tejado  4 piso  y 7. Pintura sobre muro a dos manos, incluyendo resanes, según necesidad 1 al 4 piso no se ejecutan contrato postergado para el cuarto trimestre. la actividad 6. Arreglo y mantenimiento barandas de seguridad del 1 piso al 4 piso, el señor Oscar Riaño ( maestro) realizo verificacion e inspeccion de las barandas del primer al cuarto piso con la recomendacion de ajustar el nivel del recorrido del apoya manos derecho del tercer piso al segundo. </t>
  </si>
  <si>
    <t>Para este segundo trimestre, cumplieron con la entrega de solicitud de elementos a almacen  áreas (contabilidad y presupuesto, Subgerencia administrativa y financiera y atencion al cliente).</t>
  </si>
  <si>
    <t>Esta actividad es de cumplimiento semestral (junio - diciembre), en este tercer trimestre se comienza con la recopilacion de la informacion de los inventarios devolutivos  funcionario por funcionario para actualñizarlos en el mes de noviembre y diciembre 2024.</t>
  </si>
  <si>
    <t>Se cumple con el propósito del indicador realizando mes a mes la respectiva interface de almacén general (julio, agosto y septiembre 2024) y se envía al área de contabilidad y presupuesto para el trámite correspondiente.</t>
  </si>
  <si>
    <t>En el tercer trimestre se da cumplimiento a los items 1,2,3,4,5,10 y 11 del cronograma de actividades del PIGA, las evidencias de los puntos 1,3,5,10,y11 con campañas de concientizacion enviadas a los correos intitucionales de todos los funcionarios de la entidad el dia 17 de julio del 2024.y los item 2 y 4 con el informe entregado a la subgerencia en su numeral 5.</t>
  </si>
  <si>
    <t xml:space="preserve">Para este trimestre no se tenía programadas capacitaciones, ya que está en proceso de contratación y quedaron programadas para el último trimestre del año.
 Se realizó una capacitación virtual sobre Evaluación de Desempeño, para los jefes y funcionarios de Carrera Administrativa.  
</t>
  </si>
  <si>
    <t xml:space="preserve">En este trimestre se programaron 9 actividades de las cuales se ejecutaron 4; las actividades ejecutadas fueron las siguientes: Semana de la Salud, Talleres de desórdenes musculo-esqueléticos (pausas activas), TRABAJADORES- Comunicación asertiva e inteligencia emocional, COMITÉ DE CONVIVENCIA- Roles y responsabilidades. Las actividades que no se realizaron son: Exámenes médicos ocupacionales periódicos, prueba psicométrica conductor, Aplicación batería de riesgo Psicosocial, TRABAJADORES-Prevención enfermedad varicosa, SAFL: Reconocer dificultades: investigando la causa de baja producción láctea, riesgo del uso de biberones, chupos y leche artificial, técnicas de amamantamiento, TRABAJADORES- Hábitos y estilos de vida saludable ( motivación), estas ultimas no se pudieron ejecutar, debido a que la ARL Positiva, tuvo cambio en 2 ocasiones de asesora para la Corporación Social de Cundinamarca, dejando descubierto el servicio por los meses de agosto y septiembre, por este motivo se reprogramó y se tiene proyectado para realizar en el cuarto trimestre del 2024.  </t>
  </si>
  <si>
    <t xml:space="preserve">El seguimento a la nómina de acuerdo con el cronograma establecido mediante memorando  No. 002 de  fecha  25 de enero 2024 se fijaron las siguientes fechas de ejecución: julio 26, agosto 26 y septiembre 25 de 2024, lo cual se cumplió mensualmente durante el tercer trimestre 2024. Para el tercer trimestre 2024 fueron ingresadas al sistema NOVASOFT 19 incapacidades. Por otra parte, se registraron 4 ingresos y 6 liquidaciones de contrato; Se genera sumatoria total de 29 novedades. Se genero un cumplimiento del 100% del 3er. trimestre 2024, es decir, el 25% esperado de la meta anual establecida. </t>
  </si>
  <si>
    <t>Se recibieron 4 incapacidades médicas para recobro, en el mes de julio una (1), en agosto tres (03) y en septiembre ninguna, las cuales se radicaron debidamente ante las EPS y ARL correspondientes.</t>
  </si>
  <si>
    <t>De acuerdo al PAC del año 2024 se tenía programado  recaudar ingresos por valor de $ 12.065.622.442 y solo se recaudò presupuestalmente la suma de $ 11.304.521.120, lo que significa que no se cumplió el tope de recaudo durante el tercer trimestre 2024.</t>
  </si>
  <si>
    <t>De acuerdo con el PAC del 2024 se tenía programado ejecutar gastos  por valor de $  12.065.622.442 y se ejecutó en el segundo trimestre la suma de $18.546.581.453, lo que significa que se sobreejutaron los gasto durante el tercer trimestre 2024, sobrepasando lo presupuestado.</t>
  </si>
  <si>
    <t>Se remitieron informes a los entes de control tales como el Chip/Cuipo/CGN/Contraloría Departamental /Secretaría de Hacienda/Planeación Departamental; correspondiente al Tercer trimestre del  2024.</t>
  </si>
  <si>
    <t>Se realizan mantenimientos preventivos según el plan de mantenimiento de equipos de computo 2024,</t>
  </si>
  <si>
    <t>Se realizó soporte de mantenimiento correctivo a los equipos de la red y soporte a los usuarios. Se encuentran documentados 3 requerimientos.</t>
  </si>
  <si>
    <t>Actualmente se encuentran vigentes y en ejecucion las Ordenes de Compra y Contratos de alquiler de equipos tecnológicos e infraestructura tecnológica.</t>
  </si>
  <si>
    <t>El indicador cumple con la meta establecida, ya que se realizaron 36 mantenimientos preventivos según el Plan de Mantenimiento de Equipos de Cómputo 2024, abarcando los equipos de la Subgerencia Corporativa y la Oficina de Créditos y Cartera. No obstante, se recomienda fortalecer la evidencia documental del proceso mediante el envío de un registro fotográfico, lo que permitirá mejorar la trazabilidad y verificación de las actividades realizadas.</t>
  </si>
  <si>
    <t>El indicador cumple con la meta establecida, ya que se realizó mantenimiento correctivo a los equipos de la red y soporte a los usuarios conforme a las necesidades presentadas. Se documentaron 41 reportes que incluyen solución a usuarios, tickets de Novasoft, cierres de usuarios, entre otros. Se recomienda continuar con el registro detallado de las actividades realizadas para fortalecer la trazabilidad del soporte técnico y optimizar la gestión de mantenimiento.</t>
  </si>
  <si>
    <t>Durante el tercer trimestre no se realizó la gestión ni adquisición de nuevos proyectos tecnológicos. No obstante, se destaca que se mantienen en ejecución las Órdenes de Compra y Contratos de alquiler de equipos tecnológicos e infraestructura tecnológica, asegurando la continuidad operativa. Se recomienda analizar las necesidades tecnológicas de la entidad y planificar futuras adquisiciones, con el objetivo de fortalecer la actualización y optimización de los recursos tecnológicos.</t>
  </si>
  <si>
    <t>El indicador presenta un cumplimiento parcial, ya que de las 13 actividades programadas en los planes de tratamiento de riesgos, seguridad y privacidad de la información, solo 6 fueron ejecutadas en su totalidad.
En el PETIC, todas las actividades fueron completadas satisfactoriamente. Sin embargo, quedan pendientes actividades correspondientes al Plan de Riesgos de Seguridad y al Plan de Seguridad y Privacidad de la Información, lo que requiere un seguimiento adicional para garantizar su ejecución dentro de los plazos establecidos.
Se recomienda reforzar la gestión y priorización de las actividades pendientes, asegurando su cumplimiento oportuno y alineación con los objetivos de seguridad y privacidad de la entidad.</t>
  </si>
  <si>
    <t xml:space="preserve">Se realizó seguimiento de los planes y sus actividades .De las 13 actividades se culminaron 10 a satisfacción. </t>
  </si>
  <si>
    <t>El indicador cumple con la meta establecida, ya que de las 6 actividades programadas, todas fueron ejecutadas satisfactoriamente.
Adicionalmente, se encuentra en proceso una actividad relacionada con la eliminación de documentos, la cual aún no ha finalizado debido a que se está llevando a cabo el escaneo y organización de la información, conforme a las tablas de retención documental.
Se recomienda continuar con el seguimiento de esta actividad, asegurando que el proceso de digitalización se complete en los tiempos establecidos para proceder con la eliminación de los documentos de acuerdo con la normatividad vigente.</t>
  </si>
  <si>
    <t>El indicador cumple parcialmente, ya que se ejecutaron 4 de las 5 actividades programadas.
El lavado de ventanales se realiza periódicamente a través del contrato de aseo con CLEAN BOGOTÁ, sin embargo, se recomienda recopilar evidencia de su cumplimiento. Se llevó a cabo la revisión de las barandas de seguridad, donde se identificó la necesidad de ajustar el nivel del apoyo de manos derecho entre el tercer y segundo piso, así como el cambio de chapas en la oficina de gerencia y la cocina.
Las actividades de mantenimiento del tejado del cuarto piso y pintura de muros fueron postergadas para el próximo trimestre debido a temas de contratación.
Se recomienda ejecutar los mantenimientos sugeridos tras la inspección de barandas, así como garantizar la realización del mantenimiento del tejado y la pintura en el siguiente trimestre.</t>
  </si>
  <si>
    <t>Para este tercer trimestre del año 2024 se realizaron seis (06) inspecciones preoperativa y mantenimientos a los siguientes vehículos así: OFK-544, OFK-487, OSM-114, OHK-864, OHK-865; se realiza lo relacionado con mantenimiento en el contrato 24-0008 de la comercializadora NELMAR y se anexaron facturas y entradas al almacén (NN2 830, NN2 831, NN2 832, NN2 833, NN2 861, NN2 862); se solicitó adición al contrato 24-0008 por valor de $15.000.000.00, generando el CDP 01518 del 26 de septiembre de 2024 y el RP 01287 del 27 de septiembre de 2024.  No obstante estas inspecciones preoperativas y mantenimiento de los vehículos mencionados se reportarán en el último trimestre del 2024, teniendo en cuenta que su medición es semestral.</t>
  </si>
  <si>
    <t>Se revisaron las evidencias aportadas por el proceso, aunque el indicador no cuenta con seguimiento para este trimestre. No obstante, dicha documentación será tenida en cuenta para la evaluación y seguimiento en el próximo trimestre, garantizando la trazabilidad y continuidad en el monitoreo del cumplimiento del indicador.</t>
  </si>
  <si>
    <t>Se revisaron las evidencias aportadas por el proceso, verificando que las áreas de Contabilidad y Presupuesto, Subgerencia Administrativa y Financiera, y Atención al Cliente presentaron sus respectivas solicitudes de elementos a almacén. Cada una de estas áreas entregó el formato correspondiente, detallando los suministros requeridos. 
Durante el trimestre el indicador se considera cumplido . No obstante, se recomienda fomentar la participación de todas las áreas de la entidad en la presentación de solicitudes, con el objetivo de obtener un panorama más completo de las necesidades de suministro. Asimismo, se sugiere fortalecer el proceso de recepción, asegurando que cada solicitud sea firmada por el líder del proceso correspondiente para mejorar el control y la trazabilidad.</t>
  </si>
  <si>
    <t>Se revisaron las evidencias aportadas por el proceso, verificando que, según el cronograma, estaban programadas dos capacitaciones, una sobre clima laboral y otra sobre inducción y reinducción. Se evidenció que la capacitación sobre clima laboral se llevó a cabo a través de varios talleres realizados durante la Semana de la Salud, respaldados con listas de asistencia y grabaciones.
El indicador presenta avances, sin embargo, la capacitación de inducción y reinducción no se ha realizado. Se recomienda aportar evidencia fotográfica de los eventos realizados y gestionar la ejecución de la capacitación pendiente para garantizar el cumplimiento total del cronograma de actividades del PIC.</t>
  </si>
  <si>
    <r>
      <t xml:space="preserve"> Se realizó la inauguración de la Copa Gobernación e inicio de algunos deportes.
 Se realizó actividades del Código de Integridad y socializaciones por correo electrónico. 
 Se envió tarjetas de cumpleaños, la celebración del tercer trimestre se celebra en octubre.
 Se realizó diplomado de Salud Mental en el Trabajo.
 Se realizo la Semana de la Salud.
</t>
    </r>
    <r>
      <rPr>
        <sz val="10"/>
        <rFont val="Arial"/>
        <family val="2"/>
      </rPr>
      <t> Se tenía programada laactividad de integración de Amor y Amistad para este trimestre, pero por temas de contratación no se realizó. No se cumplio.</t>
    </r>
  </si>
  <si>
    <t>Se revisaron las evidencias aportadas por el proceso, verificando que de las seis actividades programadas, cinco fueron ejecutadas, quedando pendiente la actividad de integración del Día del Amor y la Amistad.
El indicador presenta avances significativos, aunque no se cumplió en su totalidad. Se recomienda reprogramar la actividad pendiente y garantizar su ejecución en el próximo período para dar cumplimiento integral al cronograma de bienestar.</t>
  </si>
  <si>
    <t>Se revisaron las evidencias aportadas por el proceso, verificando que de las nueve actividades programadas, todas fueron ejecutadas. Sin embargo, se identificó que los exámenes médicos y algunas capacitaciones de la Semana de la Salud no se realizaron dentro del trimestre, pero sí en el mes siguiente, lo que permite considerar el indicador como cumplido.
Se recomienda mantener un seguimiento más preciso de la ejecución de las actividades dentro del trimestre programado para garantizar una mejor planificación y cumplimiento del cronograma de Seguridad y Salud en el Trabajo.</t>
  </si>
  <si>
    <t>Se verifico la realización de las evaluaciones de desempeño durante los primeros quince días hábiles, verificación realizada por parte de la profesional Andrea Parra, quién además recalco la importancia de los seguimientos al personal que se encuentra en periodo de prueba.</t>
  </si>
  <si>
    <t>Se revisaron las evidencias aportadas por el proceso, constatando que se realizaron seis seguimientos en las áreas de Gerencia, Atención al Cliente, Cartera, Créditos, Subgerencia Administrativa y Subgerencia Corporativa.
El indicador muestra avances en su cumplimiento; sin embargo, se recomienda formalizar el formato en la ruta de calidad, asegurando que se diligencie de manera completa, incluyendo la dependencia evaluada y la fecha del seguimiento, con el fin de fortalecer la trazabilidad y estandarización del proceso.</t>
  </si>
  <si>
    <t>La ruta del servicio que fue la que se encontró en la medicion del último autodiagnóstico con menor calificación se reforzó con  el diplomado realizado  desde el 15  de julio  hasta mediados de Agosto, dirigido a la salud mental, donde se tocaron aspectos del servicio, participaron  35 personas. En la inducción se recalca la importancia de la mejora del servicio.</t>
  </si>
  <si>
    <t>Aunque este trimestre no se tenía seguimiento programado, se revisaron las evidencias aportadas por el proceso y se destacan las acciones implementadas para fortalecer competencias con baja calificación, como la Ruta del Servicio.
Sin embargo, se recomienda iniciar oportunamente con el diligenciamiento del autodiagnóstico, con el fin de evitar retrasos en el próximo trimestre y garantizar el cumplimiento del indicador dentro de los plazos establecidos.</t>
  </si>
  <si>
    <t>Los Acuerdos de Gestion se encuentran en Ejecución según los compromisos firmados con la Alta Gerencia</t>
  </si>
  <si>
    <t>El proceso informa que los acuerdos de gestión se están implementando y que el seguimiento al primer semestre se encuentra en desarrollo, con entrega completa programada para el próximo trimestre.
Dado que el seguimiento aún no ha finalizado, se realizará la verificación correspondiente en el siguiente período. Se recomienda recopilar y organizar las evidencias con anticipación para garantizar la presentación oportuna y sin retrasos de los informes de seguimiento</t>
  </si>
  <si>
    <t>El recaudo presupuestal durante el tercer trimestre muestra un cumplimiento del 93.69%, equivalente a $11.304.521.120 frente a los $12.065.622.442 proyectados en el PAC 2024. Aunque el porcentaje de cumplimiento es alto, el no alcanzar el 100% puede impactar la ejecución de gastos planificados para el período.
Este resultado podría deberse a demoras en la gestión de cobro, menores ingresos de los esperados o ajustes en la programación de pagos. Para optimizar el recaudo y evitar impactos en la estabilidad financiera, se recomienda analizar las causas de la brecha del 6.31% y comparar el comportamiento de ingresos con períodos anteriores, con el fin de establecer estrategias que permitan recuperar el porcentaje faltante y cumplir las metas presupuestales del año.</t>
  </si>
  <si>
    <t>El indicador evidencia el cumplimiento en la entrega de los informes requeridos. Se revisaron las evidencias aportadas por el proceso, verificando la presentación de los informes Cascada de Recursos, Ejecución Presupuestal y CUIPO. No obstante, se recomienda ajustar las evidencias relacionadas con la Cascada de Recursos, garantizando una documentación más precisa y una mejor trazabilidad para futuros reportes.</t>
  </si>
  <si>
    <t>La remisión de informes a los entes de control durante el segundo trimestre de 2024 se ha realizado de manera adecuada y oportuna, cumpliendo con los requisitos establecidos y asegurando la transparencia y responsabilidad en la gestión de la entidad.</t>
  </si>
  <si>
    <t>Según el PAC 2024, se tenía programada una ejecución de gastos por $12.065.622.442, pero se ejecutaron $18.546.581.453, lo que representa una sobreejecución del 53.73% con respecto a lo presupuestado.
Este resultado refleja un desfase significativo en la planificación del gasto, lo que podría afectar la disponibilidad de recursos en los próximos trimestres. Se recomienda analizar las razones de esta sobreejecución, revisar la distribución del presupuesto restante y ajustar la planificación financiera para garantizar un uso eficiente de los recursos y evitar posibles desbalances en la vigencia actual.</t>
  </si>
  <si>
    <t>Las evidencias aportadas confirman la conciliación de los meses de julio, agosto y septiembre para todos los bancos activos en la entidad, reflejando un adecuado seguimiento a los movimientos bancarios. Se recomienda mantener la periodicidad en la conciliación y fortalecer la documentación de respaldo, garantizando la trazabilidad y confiabilidad de los registros contables.</t>
  </si>
  <si>
    <t>Se evidencia el registro de los ingresos reportados durante el tercer trimestre, alcanzando un 79.08% de la meta establecida en el PAC 2024 ($9.541.108.291 recaudados de los $12.065.622.442 proyectados).
Este resultado refleja una ejecución parcial, lo que podría requerir ajustes en la planificación financiera y en la gestión de recaudos para reducir la brecha del 20.92% restante. Se recomienda fortalecer las estrategias de cobro y optimizar el proceso de conciliación, asegurando un mayor cumplimiento en los trimestres siguientes y garantizando la alineación con las metas presupuestales.</t>
  </si>
  <si>
    <t>Se evidencia que, durante el tercer trimestre, la ejecución de egresos alcanzó $13.834.081.363, superando en $1.768.458.921 lo proyectado en el PAC 2024, que era $12.065.622.442. Esto representa una sobreejecución del 14.66% respecto al presupuesto estimado.
Este resultado refleja un mayor nivel de gasto frente a lo programado, lo que podría impactar la disponibilidad de recursos en los trimestres siguientes. Se recomienda realizar un análisis detallado de los rubros con mayor ejecución y ajustar la planificación financiera, con el fin de optimizar el uso de los recursos y evitar posibles desbalances en la ejecución presupuestal de la entidad.</t>
  </si>
  <si>
    <t>El resultado de los egresos del tercer trimestre 2024 obedece al aumento en la contratación de personal y liquidación de prestaciones sociales, teniendo en cuenta que no hubo toda la ejecuin en periodos anteriores.</t>
  </si>
  <si>
    <t>El cumplimiento del 19.77% del tercer trimestre 2024 obedece a la diferencia entre el PAC y el Recaudo Tesoral especialmente por la armonizacion del presupuesto y desembolso de créditos, especialmente rotativos.</t>
  </si>
  <si>
    <t xml:space="preserve">Se efectuaron  1505 requerimientos  entre administrativos y judiciales.
Este  reporte se puede evidenciar  con los anexos 1,2,3,4 </t>
  </si>
  <si>
    <t>NO APLICA.Como quiera que el segundo informe corresponde al periodo comprendido entre el 1 de julio al 31 de diciembre del 2024, el cual es entregado en el primer Comité de Conciliación y Defensa Judicial  de la vigencia del 2025.</t>
  </si>
  <si>
    <t xml:space="preserve">Este indicador es nuevo y se empezó a aplicar a partir del 29 de abril del 2024.En el tercer trimestre de la vigencia 2024, fueron entregadas 110 obligaciones a la empresa  M&amp; M  para demandar y  a su vez fueron  marcadas  como juridico en el aplicativo NOVASOFT . Este  reporte se puede evidenciar  con el anexo 5. </t>
  </si>
  <si>
    <t>Una vez revisadas las evidencias aportadas por el proceso, se verifica que durante el tercer trimestre se efectuaron mas de 1000 requerimientos, incluyendo gestiones administrativas y judiciales.
Este resultado refleja un avance en la gestión jurídica del cobro de obligaciones. Se recomienda realizar un análisis del impacto de estos requerimientos en la recuperación efectiva de cartera, con el fin de evaluar la eficiencia del proceso y optimizar las estrategias jurídicas implementadas.</t>
  </si>
  <si>
    <t>No se realiza seguimiento en este trimestre, ya que el indicador no presenta medición durante este periodo. Para garantizar un adecuado seguimiento a la gestión del daño antijurídico en el Comité de Conciliación y Defensa Judicial, se recomienda subir en la ruta de la calidad las actas de las sesiones del comité, permitiendo así una mejor trazabilidad y documentación de las decisiones adoptadas.</t>
  </si>
  <si>
    <t>El indicador cumple con la meta establecida, ya que durante el tercer trimestre de la vigencia 2024 se reportó la entrega de 110 obligaciones a la firma externa M&amp;M para su demanda y su correspondiente marcación en estado jurídico.
Sin embargo, aunque se verifica la entrega de poderes para el inicio de demandas, no se cuenta con un dato preciso que indique cuántos casos debían ser remitidos a cobro jurídico, lo que genera incertidumbre en la gestión de estas obligaciones. Se recomienda fortalecer las evidencias del proceso, incorporando un registro detallado del número de casos que deben ser enviados a cobro jurídico, con el fin de garantizar un mayor control y trazabilidad en la gestión.</t>
  </si>
  <si>
    <t>No se carga la evidencia debido a que es una actividad conjunta con planeación, por tanto el equipo de planeación tiene conocimiento de la ejecución de las auditorías realizadas.</t>
  </si>
  <si>
    <t xml:space="preserve">El informe de PQRSDF del segundo semestre 2023 y primer semestre de 2024 se encuentra cargado en la página web, al igual que el informe de seguimiento evaluación de riesgos. </t>
  </si>
  <si>
    <t>El seguimiento quedó plasmado desde las auditorías internas realizadas de acuerdo al cronograma de auditorías aprobado mediante el Plan de Auditorías 2024. No se carga la evidencia debido a que es una actividad conjunta con planeación, por tanto el equipo de planeación tiene conocimiento de la ejecución de las auditorías realizadas y cuenta con la informaciòn.</t>
  </si>
  <si>
    <t>Se realizó envío de las campañas de autocontrol el 13 de agosto 2024 y el 1 de octubre de 2024. La Oficina de Control Interno no se comprometio a realizar las campañas de manera trimestral, el compromiso es enviar 4 campañas anualmente.</t>
  </si>
  <si>
    <t>Se realiza revisión a la plataforma SIA Observa, se remite correo a la Oficina de Contratación solicitando informe por contratos rendidos de manera extemporanea. Adicionalmente se solicito ante la Contraloria Departamental la capacitación a los funcionarios de la OCI, de este modo mejorar dicha actividad.</t>
  </si>
  <si>
    <t>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informes finales individuales de cada auditoría para garantizar el cumplimiento del indicador. Según el cronograma, debieron haberse realizado 11 auditorías entre los meses de julio y septiembre, por lo que es fundamental contar con la documentación que respalde su ejecución y resultados.</t>
  </si>
  <si>
    <t>No se realiza seguimiento en este trimestre, ya que el indicador no presenta medición periódica en este periodo. Los informes han sido presentados de manera semestral, conforme a la planificación establecida.</t>
  </si>
  <si>
    <t>Se realizó la revisión de la página web institucional, constatando que se publicaron dos de los tres informes programados para este trimestre, correspondientes a PAAC del primer y segundo cuatrimestre así como los informes de Riesgos del mismo periodo,Sin embargo, no se evidencian los informes de Austeridad del Gasto correspondientes al primer, segundo y tercer trimestre, lo que indica un incumplimiento parcial del indicador. igualmente También se confirmó la publicación del informe de PQRSD del primer semestre.
Se recomienda priorizar la elaboración y publicación de los informes pendientes, garantizando así la transparencia y el cumplimiento de las normativas vigentes.</t>
  </si>
  <si>
    <t>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seguimiento o informes individuales de cada auditoría para garantizar el cumplimiento del indicador.</t>
  </si>
  <si>
    <t>Se verificó que, durante el tercer trimestre, se realizó una campaña informativa sobre el FURAG, la cual fue enviada a los funcionarios de la CSC a través de correo electrónico el 13 de agosto.
Si bien esta acción contribuye al objetivo de sensibilización, se recomienda ampliar el alcance de las campañas, utilizando otros medios de difusión como capacitaciones, boletines o material visual, con el fin de fortalecer la cultura de autocontrol dentro de la entidad.</t>
  </si>
  <si>
    <t>El indicador no cumple con la meta establecida, ya que, aunque se tenía previsto realizar tres seguimientos, solo se evidenció uno. Esto indica que no se ha realizado el monitoreo constante de la documentación en la plataforma SIA OBSERVA, afectando la trazabilidad y supervisión del proceso contractual. Además, no se evidencia que se haya requerido al proceso de contratación sobre las observaciones encontradas en el seguimiento realizado por Control Interno. Se recomienda garantizar la ejecución de los seguimientos mensuales, realizando la debida verificación   en la plataforma y trasladando oportunamente las observaciones al área de contratación para fortalecer la gestión contractual.</t>
  </si>
  <si>
    <t>Durante el tercer trimestre, se dieron a conocer los puntajes del FURAG, en los cuales la CSC obtuvo una calificación de 86.1 sobre 100. Tras el análisis de los resultados, se identificaron las políticas con menor puntaje, las cuales serán socializadas en el Comité Institucional de Gestión y Desempeño y líderes de cada política. Adicionalmente, en el próximo trimestre se implementarán acciones para fortalecer aquellas políticas que presenten falencias.</t>
  </si>
  <si>
    <t>Se revisaron las evidencias, identificando que efectivamente la CSC obtuvo un puntaje de 86.1 en la medición del FURAG, lo que refleja un desempeño positivo en la implementación de políticas de gestión y desempeño institucional. Sin embargo, el resultado quedó 3.9 puntos por debajo de la meta establecida (90 puntos), Cumpliendo parcialmente el indicador y evidenciando la necesidad de fortalecer las políticas con menor puntaje.
Por ello, se recomienda la implementación de acciones concretas en el próximo trimestre, asignando responsables y estableciendo plazos de ejecución para garantizar su cumplimiento. Adicionalmente, se sugiere realizar simulaciones o autoevaluaciones previas a la siguiente medición del FURAG, con el fin de identificar oportunidades de mejora y asegurar un incremento en la calificación en futuras evaluaciones.</t>
  </si>
  <si>
    <t>Durante el tercer trimestre, se llevó a cabo el seguimiento en la plataforma SUIT, logrando el cumplimiento del indicador. Se le indicó al proceso de atención al cliente para que iniciaran el proceso de actualización del formulario de afiliación en el sistma de novasoft.</t>
  </si>
  <si>
    <t>El seguimiento en SUIT se llevó a cabo con éxito, asegurando el cumplimiento del indicador. Se ha instruido a atención al cliente para actualizar el formulario de afiliación en Novasoft, lo que fortalecerá la gestión de afiliaciones. Es importante realizar un monitoreo continuo para verificar la implementación y efectividad de esta mejora.</t>
  </si>
  <si>
    <t>En el  Tercer  trimestre del 2024 se entregaron 2,790 elementos  publicitarios,  a afiliados. Igualmente  se presento el informe de las encuestas de capacitación y se  realizó la base de datos de posibles convenios comerciales para beneficio de los afiliados y se realizaron contactos realizaron contactos con 6 empresa (  Brigadas de Colombia, parque Chorrera, parque Chingaza, Stark gimnasio, Alianza car e Integral Healt .</t>
  </si>
  <si>
    <t>Durante el tercer trimestre, no se logra evidenciar la entrega de beneficios directos a los afiliados a través de actividades de bienestar, ya que se había establecido que la entrega de promocionales como esferos y cuadernos no contaba como beneficio.
Sin embargo, se destaca la gestión realizada en la inscripción de afiliados en capacitaciones y los avances en la estrategia de convenios con empresas, lo que representa un progreso en la oferta de beneficios.
Se recomienda al proceso organizar mejor las evidencias, permitiendo un seguimiento más preciso y la cuantificación de los afiliados beneficiados en las actividades programadas, asegurando así una medición efectiva del impacto de estas iniciativas.</t>
  </si>
  <si>
    <t>El proceso logró desembolsar más del 50% de los créditos en el tiempo establecido, aún persisten demoras en el 48% de los casos debido a retrasos en la entrega y verificación de documentos. Para mejorar este desempeño, se recomienda fortalecer los mecanismos de seguimiento, optimizar la comunicación con los afiliados, implementar alertas tempranas y revisar los procesos internos para agilizar la gestión. La aplicación de estas estrategias seguramente permitirá reducir los tiempos de desembolso, mejorar la eficiencia del indicador y garantizar una mejor experiencia para los afiliados.</t>
  </si>
  <si>
    <t>El indicador se cumplió satisfactoriamente en el tercer trimestre, con la presentación oportuna de los tres reportes mensuales en la plataforma SIA Observa, dentro del plazo establecido de los primeros tres días de cada mes. Para fortalecer el proceso en la próxima vigencia, se recomienda implementar un sistema de alertas automáticas que recuerde las fechas límite, optimizar la carga de información mediante una verificación previa de los datos registrados y realizar un seguimiento continuo para asegurar la calidad y oportunidad de los reportes.</t>
  </si>
  <si>
    <t>No se realiza seguimiento en este trimestre, ya que la actividad es de cumplimiento semestral. Se recomienda continuar con el proceso de recolección y verificación de la información, asegurando que la actualización semestral se realice dentro de los plazos establecidos.</t>
  </si>
  <si>
    <t>El seguimiento realizado evidencia que el indicador de verificación de elementos devolutivos y de consumo se cumplió satisfactoriamente durante el tercer trimestre de 2024. Se constató que los registros de entradas y salidas fueron gestionados de manera adecuada, incluyendo detalles como descripción del elemento, cantidad y valor.
Para fortalecer la trazabilidad y control del inventario, se recomienda al proceso verificar la disponibilidad de un reporte que contemple la fecha de ingreso y salida de cada elemento, permitiendo un monitoreo más preciso y una mejor planificación en la gestión de los recursos.</t>
  </si>
  <si>
    <t>De acuerdo al seguimiento realizado al Plan Institucional de Gestión Ambiental (PIGA), se programó la ejecución de 11 actividades, de las cuales se llevaron a cabo 6, enfocadas en el ahorro de agua, ahorro de energía y campañas de sensibilización. Para mejorar el cumplimiento en futuros periodos, se recomienda revisar el PIGA para identificar las causas del incumplimiento, ajustar el cronograma según sea necesario y establecer medidas que garanticen la ejecución total de las actividades, incluyendo la asignación de recursos adecuados, la designación de responsables y la extensión de las campañas de sensibilización a los contratistas de la entidad.</t>
  </si>
  <si>
    <t xml:space="preserve">
El indicador alcanzó el 100% de la meta establecida para el trimestre, evidenciando el cumplimiento del seguimiento a la nómina conforme al cronograma establecido. Las fechas de ejecución programadas fueron cumplidas mensualmente, asegurando la correcta gestión del proceso. Como acción de mejora, se recomienda mantener el monitoreo constante y evaluar posibles oportunidades de optimización en la gestión de la nómina para fortalecer la eficiencia operativa.</t>
  </si>
  <si>
    <t>Se evidenció un seguimiento adecuado al proceso de radicación de incapacidades ante las EPS y ARL correspondientes. De las cuatro incapacidades reportadas, dos fueron canceladas en agosto, mientras que las otras dos están pendientes de pago, con gestión en curso y compromiso de cancelación antes del 15 de octubre. Se recomienda continuar con el monitoreo y verificación del cumplimiento de los pagos pendientes, asegurando que los recobros se realicen dentro de los tiempos establecidos y evitando acumulaciones en periodos futuros que puedan afectar el flujo financiero de la entidad.</t>
  </si>
  <si>
    <t>1. Resultados Generales
Durante el tercer trimestre de 2024, la Corporación Social de Cundinamarca gestionó un total de 1.290 Peticiones, Quejas, Reclamos, Sugerencias, Denuncias y Felicitaciones (PQRSDF) a través de sus canales de comunicación oficiales, incluyendo correo electrónico, plataforma Webex, WhatsApp y línea telefónica.
2. Distribución de PQRSDF por Canal
Las solicitudes fueron recibidas a través de los siguientes medios:
WhatsApp y línea telefónica: 560
Correo electrónico (atencionalcliente@csc.gov.co): 420
Plataforma Webex: 310
3. Clasificación de las PQRSDF
Del total de 1.290 solicitudes recibidas, se registraron los siguientes tipos:
Peticiones: 267
Solicitudes generales: 933
Informativos: 90
Quejas, reclamos, denuncias, felicitaciones, derechos de petición y tutelas: 0
4. Análisis y Observaciones
El tercer trimestre del año reflejó un alto volumen de solicitudes por parte de los ciudadanos, siendo las solicitudes generales (933) el principal motivo de contacto, lo que indica una necesidad constante de información y orientación sobre los servicios ofrecidos.
El hecho de que no se registraran quejas ni reclamos resalta una percepción positiva sobre la atención brindada y la eficiencia en la gestión de trámites. Además, el uso predominante de WhatsApp y la línea telefónica (560 solicitudes) confirma la preferencia de los usuarios por estos canales, lo que refuerza la importancia de su mantenimiento y mejora continua.
5. Recomendaciones
Fortalecer la atención digital a través de Webex y el correo institucional para equilibrar la carga entre los distintos canales de comunicación.
Implementar herramientas de automatización para agilizar el procesamiento y resolución de solicitudes, mejorando los tiempos de respuesta.
Monitorear la experiencia del usuario de manera continua para identificar oportunidades de mejora y garantizar una atención de calidad.
Este análisis evidencia que, durante julio, agosto y septiembre, la Corporación Social de Cundinamarca ha mantenido una gestión eficiente de solicitudes, consolidando su compromiso con la atención oportuna y de calidad para sus afiliados y la ciudadanía en general.</t>
  </si>
  <si>
    <t>Tercer Trimestre 2024
1. Resultados Generales
Durante el tercer trimestre de 2024, se evaluó la satisfacción de los usuarios con respecto a la atención recibida, la claridad de la información suministrada, la amabilidad del personal y la calidad de las instalaciones y herramientas tecnológicas.
2. Resumen de Satisfacción
Nivel de satisfacción general: 96% de los usuarios calificaron su experiencia como "Muy Satisfecho" o "Satisfecho".
Tiempo de espera: 43 usuarios indicaron estar "Muy Satisfechos", mientras que 9 lo calificaron como "Satisfecho".
Valoraciones neutras: Solo 2 usuarios calificaron el tiempo de espera como "Aceptable".
Ausencia de quejas: No se registraron respuestas de "Insatisfecho" o "Muy Insatisfecho", lo que refleja una gestión eficiente en la atención.
3. Análisis y Recomendaciones
Los datos reflejan una experiencia de usuario altamente positiva, con tiempos de espera adecuados y asesoría clara y efectiva. Sin embargo, para mantener y mejorar este desempeño, se recomienda:
Implementar un sistema de monitoreo continuo para detectar variaciones en tiempos de espera en momentos de alta demanda.
Seguir optimizando la infraestructura tecnológica y los recursos de atención para asegurar la calidad del servicio.
Este informe confirma el compromiso de la entidad con la eficiencia y la satisfacción del usuario, consolidando su gestión en la atención al público.</t>
  </si>
  <si>
    <t>1. Publicaciones en Redes Sociales (Facebook e Instagram)
Durante el tercer trimestre del año, se gestionaron 38 publicaciones con el objetivo de fortalecer la visibilidad de la Corporación Social de Cundinamarca (CSC) y difundir estratégicamente sus servicios.
Julio (12 publicaciones): Enfoque en celebraciones institucionales y patrióticas, resaltando el compromiso de la CSC con el desarrollo social y económico de Cundinamarca.
Agosto (11 publicaciones): Vinculación de la tradición del mes de las Cometas con la promoción de servicios financieros, destacando los créditos como impulsores de proyectos personales y familiares.
Septiembre (15 publicaciones): Campaña enfocada en Amor y Amistad, promoviendo las líneas de crédito como una forma de alcanzar metas personales con el respaldo de la CSC.
Se implementó una estrategia dinámica basada en eventos clave y valores culturales del departamento, optimizando la interacción con la audiencia.
2. Ferias Realizadas – Agosto 2024
Durante agosto, la CSC participó en tres eventos clave para fortalecer el acercamiento con sus usuarios y promover sus servicios:
Municipio de Cajicá
Encuentro de Rectores – Club Colsubsidio Bella Vista
Feria en el Municipio de Cota
3. Actualizaciones Web – Septiembre 2024
Se realizaron actualizaciones en la página web de la CSC, enfocadas en mejorar la experiencia del usuario y optimizar la información disponible:
Actualización de líneas de crédito.
Cambio de banners en la página principal y sección de líneas de crédito.</t>
  </si>
  <si>
    <t>Durante los meses de julio, agosto y septiembre de 2024, la Corporación Social de Cundinamarca (CSC) realizó un total de 267 nuevas afiliaciones, reafirmando la confianza de los funcionarios públicos en los servicios ofrecidos.
Julio: Se llevaron a cabo 75 nuevas afiliaciones. Aunque el flujo de créditos fue bajo, las vinculaciones demostraron que la CSC sigue siendo una opción confiable y valorada en la región.
Agosto: El número de 82 nuevas afiliaciones mostró un crecimiento significativo respecto al mes anterior, consolidando la reputación de la CSC como una entidad preferida entre los funcionarios públicos.
Septiembre: Con 110 afiliaciones, este mes representó el mayor crecimiento del trimestre, impulsado por estrategias de acercamiento y ferias de servicios que permitieron una mayor difusión de la oferta de la CSC.</t>
  </si>
  <si>
    <t>El indicador correspondiente al tercer trimestre de 2024 refleja un cumplimiento del 92.40%, con un total de 1,290 PQRSDF gestionadas, de las cuales 1,192 fueron respondidas dentro de los términos establecidos. Este resultado evidencia una gestión eficiente en la atención al ciudadano. Sin embargo, es importante analizar las 98 solicitudes que no fueron respondidas a tiempo para identificar las causas y establecer estrategias que permitan mejorar los tiempos de respuesta. Además, se recomienda fortalecer la retroalimentación con los usuarios y revisar la calidad de los informes, ya que se han identificado errores en el análisis de los datos, lo que puede afectar la toma de decisiones y la mejora continua del servicio.</t>
  </si>
  <si>
    <t>Durante el tercer trimestre de 2024, se aplicaron 205 encuestas según las evidencias aportadas por el proceso, alcanzando un cumplimiento del 96% en el indicador de satisfacción del usuario. Aunque este resultado es positivo, es fundamental garantizar que al menos el 70% de las personas atendidas participen para obtener una muestra representativa y confiable. Se identificaron oportunidades de mejora en la atención telefónica y la información sobre trámites, aspectos clave para fortalecer la experiencia del usuario. Como acción de mejora para la próxima vigencia, se recomienda optimizar la estrategia de recolección de encuestas, diversificando los canales de aplicación y promoviendo una mayor participación de los usuarios, con el fin de obtener un análisis más preciso y tomar acciones correctivas efectivas.</t>
  </si>
  <si>
    <t>El indicador de ejecución del Plan de Comunicaciones presenta un cumplimiento del 83.3% en el tercer trimestre de 2024, ya que se completaron 5 de las 6 actividades programadas. La actividad pendiente, relacionada con la capacitación del equipo de Atención al Cliente, junto con la mejora en la difusión del boletín interno, requiere atención para alcanzar el 100% de cumplimiento. Se recomienda reprogramar la capacitación y reforzar las estrategias de comunicación interna, asegurando que el boletín llegue de manera efectiva a todos los funcionarios.</t>
  </si>
  <si>
    <t xml:space="preserve">
El proceso cumple con la meta establecida, alcanzando 267 afiliaciones de las 200 proyectadas, lo que representa un cumplimiento del 133.5%.
Este resultado refleja un excelente desempeño en la gestión de afiliaciones. Se recomienda mantener y fortalecer las estrategias implementadas, explorando nuevas acciones como campañas de divulgación más amplias, alianzas estratégicas y el uso de herramientas digitales para agilizar el proceso de afiliación.</t>
  </si>
  <si>
    <t>Durante el tercer trimestre de 2024, la oficina de Planeación realizó seguimientos a las actividades propuestas en los planes, cumpliendo satisfactoriamente con el indicador. En estos seguimientos se evidenciaron avances significativos en la mayoría de los planes. Sin embargo, algunos presentan ejecuciones por debajo del 30% como los son Plan de tratamiento de riesgos de seguridad y privacidad de la información; Plan de seguridad y privacidad de la información . Por ello, se ofrecerá acompañamiento  a la oficina de sistemas para asegurar el cumplimiento de las actividades pendientes.</t>
  </si>
  <si>
    <t xml:space="preserve">De acuerdo con las evidencias presentadas, se realizó el seguimiento a las actividades establecidas en los planes del Decreto 612, logrando un cumplimiento del 75%. Se evidenció la correcta ejecución del Plan de Bienestar, PINAR y PETIC; sin embargo, persisten rezagos en la implementación del Plan de Tratamiento de Riesgos de Seguridad y Privacidad de la Información, así como en el Plan de Seguridad y Privacidad de la Información, los cuales no superaron el 30% de ejecución. 
Para mejorar la ejecución de estos planes, se recomienda reforzar el seguimiento periódico mediante alertas tempranas que permitan mitigar retrasos, así como fortalecer la articulación con la Oficina de Sistemas para garantizar el cumplimiento de las actividades pendientes. </t>
  </si>
  <si>
    <r>
      <t xml:space="preserve">Durante el tercer trimestre, se solicitó via correo eletrónico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avance acumulado </t>
    </r>
    <r>
      <rPr>
        <sz val="10"/>
        <rFont val="Arial"/>
        <family val="2"/>
      </rPr>
      <t>del 63.57%</t>
    </r>
    <r>
      <rPr>
        <sz val="10"/>
        <color rgb="FFFF0000"/>
        <rFont val="Arial"/>
        <family val="2"/>
      </rPr>
      <t xml:space="preserve">, </t>
    </r>
    <r>
      <rPr>
        <sz val="10"/>
        <rFont val="Arial"/>
        <family val="2"/>
        <charset val="1"/>
      </rPr>
      <t>cumpliendo con el indicador establecido.</t>
    </r>
  </si>
  <si>
    <t>Se verifica que se realizó el seguimiento al Plan de Acción para el período, alcanzando una ejecución del 63.57%. Sin embargo, se identifica que el proceso de Bienestar presenta un avance inferior al 40%, lo que requiere especial atención.
Se recomienda acompañar y reforzar el seguimiento a este proceso, asegurando el cumplimiento de sus actividades. Además, es fundamental continuar con un monitoreo riguroso de las evidencias, fortaleciendo la calidad de la documentación presentada por cada proceso. Esto permitirá garantizar la confiabilidad de la información y facilitar la evaluación del cumplimiento de las metas establecidas.</t>
  </si>
  <si>
    <t>2 DO TRIM</t>
  </si>
  <si>
    <t xml:space="preserve">Durante el cuarto trimestre, la oficina de planeación diseño planes de mejoramiento para fortalecer las politicas de MIPG que tuvieron menor puntaje en el FURAG, se realizaron mesas de trabajo con los líderes, con el fin de proponer y diseñar acciones que permitan darle seguimiento a la implementacion de los planes de mejoramiento. </t>
  </si>
  <si>
    <t>Aunque en este trimestre no estaba programado un seguimiento al indicador, se revisaron las evidencias aportadas por el proceso, evidenciando que la Oficina de Planeación diseñó planes de mejoramiento para fortalecer las políticas de MIPG con menor puntaje en el FURAG.
Asimismo, se llevaron a cabo mesas de trabajo con los líderes para proponer y estructurar acciones que permitan hacer seguimiento a la implementación de dichos planes de mejoramiento. Se recomienda continuar con el monitoreo y evaluación de las acciones implementadas, asegurando que contribuyan al fortalecimiento institucional y a la mejora en futuras mediciones del FURAG.</t>
  </si>
  <si>
    <t>Durante el cuarto trimestre se realizo el monitoreo respectivo por parte de la oficina de planeación a la estrategia de racionalización de la plataforma SUIT. Igualmente se envió correo a la oficina de control interno, para que realizaran el seguimiento y evaluación para racionalización de los trámites inscritos.</t>
  </si>
  <si>
    <t>Se revisan las evidencias aportadas por el proceso, constatando que la Oficina de Planeación llevó a cabo con éxito el monitoreo de la estrategia de racionalización en la plataforma SUIT. Actualmente, se está a la espera de la evaluación de Control Interno para completar el proceso de racionalización de trámites.
Se recomienda continuar con este seguimiento y validar los avances obtenidos, garantizando que las medidas adoptadas contribuyan a la optimización y eficiencia en la gestión de trámites en la plataforma SUIT.</t>
  </si>
  <si>
    <t>1. Resultados Generales
Durante el cuarto trimestre de 2024, la Corporación Social de Cundinamarca gestionó un total de 3.778 Peticiones, Quejas, Reclamos, Sugerencias, Denuncias y Felicitaciones (PQRSDF) a través de sus canales de comunicación oficiales, consolidando su compromiso con la atención oportuna y eficiente a los ciudadanos y grupos de valor.
2. Distribución de PQRSDF por Canal
Las solicitudes fueron recibidas a través de los siguientes medios:
WhatsApp y línea telefónica: 1.808
Plataforma Webex: 1.220
Correo electrónico (atencionalcliente@csc.gov.co): 750
3. Clasificación de las PQRSDF
Del total de 3.778 solicitudes recibidas, se registraron los siguientes tipos:
Peticiones: 3.778
Quejas, reclamos, sugerencias, denuncias, felicitaciones, derechos de petición y tutelas: 0
4. Análisis y Observaciones
Este trimestre reflejó un alto volumen de peticiones, lo que demuestra el constante interés de los ciudadanos en recibir información y orientación sobre los servicios ofrecidos por la entidad.
El canal más utilizado fue WhatsApp y la línea telefónica, representando el 48% del total de solicitudes, lo que evidencia la preferencia de los usuarios por medios de contacto inmediatos y accesibles. La plataforma Webex y el correo institucional también mantuvieron una participación significativa en la recepción de solicitudes.
Un punto relevante a destacar es que, al igual que en trimestres anteriores, no se registraron quejas ni reclamos, lo que indica una percepción positiva sobre la calidad del servicio prestado y la eficiencia en la gestión de solicitudes.
Además, durante el mes de diciembre, se llevó a cabo la entrega de incentivos navideños a los afiliados, lo que generó un alto nivel de satisfacción en los beneficiarios y reforzó el sentido de bienestar dentro de la comunidad.
5. Recomendaciones
Continuar fortaleciendo la atención por medios digitales para mejorar la accesibilidad y eficiencia en la gestión de solicitudes.
Optimizar los tiempos de respuesta mediante estrategias de automatización y gestión de procesos.
Evaluar nuevas estrategias de comunicación y retroalimentación con los usuarios para mantener altos niveles de satisfacción y prevenir posibles puntos de fricción.
En conclusión, el análisis de octubre, noviembre y diciembre confirma la solidez en la gestión de PQRSDF de la Corporación Social de Cundinamarca, consolidando su compromiso con la atención de calidad y el bienestar de sus afiliados y ciudadanos en general.</t>
  </si>
  <si>
    <t>El seguimiento al indicador de gestión de PQRSDF durante el cuarto trimestre de 2024 refleja un cumplimiento del 100%, con un total de 3,778 solicitudes gestionadas y respondidas dentro de los términos establecidos. Este resultado evidencia una gestión eficiente y oportuna en la atención al ciudadano. Como acción de mejora para la próxima vigencia, se recomienda implementar un sistema digital de seguimiento y control de respuestas, que permita mejorar la trazabilidad de cada solicitud, optimizar los tiempos de gestión y reducir posibles inconsistencias en los reportes. Además, se sugiere realizar un análisis cualitativo de las solicitudes para identificar tendencias, causas recurrentes y oportunidades de mejora en la prestación del servicio.</t>
  </si>
  <si>
    <t>Cuarto Trimestre 2024
1. Resultados Generales
Entre los meses de octubre, noviembre y diciembre de 2024, se encuestaron 116 afiliados para evaluar la calidad del servicio, la atención recibida y la eficiencia en los tiempos de respuesta.
2. Resumen de Satisfacción
Los resultados reflejan un alto nivel de conformidad con los servicios prestados:
Nivel de satisfacción general: Un 97% de los encuestados calificó su experiencia como "Muy Satisfecho" o "Satisfecho".
Tiempo de espera: 85 afiliados indicaron estar "Muy Satisfechos" y 29 "Satisfechos", consolidando la eficiencia del servicio.
Valoraciones neutras: Solo 2 afiliados calificaron el tiempo de espera como "Aceptable", lo que sugiere una oportunidad de mejora en la gestión de tiempos en momentos de mayor afluencia.
Sin registros de insatisfacción: No hubo calificaciones de "Insatisfecho" o "Muy Insatisfecho", lo que evidencia la solidez del servicio y su buena acogida entre los afiliados.
3. Análisis y Recomendaciones
El alto índice de satisfacción confirma que la entidad ha logrado mantener estándares de atención de calidad. No obstante, para seguir mejorando, se recomienda:
Optimizar los tiempos de espera, asegurando que incluso en temporadas de alta demanda se mantenga la eficiencia en la atención.
Fortalecer los canales de información, para garantizar que todos los afiliados reciban una experiencia homogénea y ágil en sus trámites.
4. Impacto del Bienestar en los Afiliados – Diciembre
En diciembre, se realizó la entrega de incentivos navideños a los afiliados, una acción que generó una respuesta muy positiva y reforzó la percepción de bienestar. Esta iniciativa fue ampliamente valorada y destacó la importancia de reconocer el compromiso y fidelidad de los miembros de la Corporación Social de Cundinamarca.
La estrategia implementada en este trimestre ha permitido fortalecer la relación con los afiliados, consolidando a la entidad como un referente en calidad, transparencia y cercanía con la comunidad.</t>
  </si>
  <si>
    <t>Durante el cuarto trimestre de 2024, se aplicaron 116 encuestas, alcanzando un cumplimiento del 98% en el indicador de satisfacción del usuario. Aunque este resultado es positivo, es fundamental garantizar que al menos el 70% de las personas atendidas participen para obtener una muestra representativa y confiable. Se recomienda aportar los informes con evidencias de las encuestas para asegurar la trazabilidad de la información, así como analizar los comentarios y sugerencias de los usuarios para identificar oportunidades de mejora.
Como acción de mejora para la próxima vigencia, se sugiere implementar un sistema digital de recolección y gestión de encuestas que permita un seguimiento más eficiente de los resultados, facilite el análisis de la información en tiempo real y fomente la participación de los usuarios a través de diversos canales. Esto contribuirá a una toma de decisiones más informada y a la optimización de la experiencia del usuario.</t>
  </si>
  <si>
    <t>Cuarto Trimestre 2024
1. Publicaciones en Redes Sociales (Facebook e Instagram)
Durante el cuarto trimestre de 2024, se realizaron 55 publicaciones en Facebook e Instagram, alineadas con estrategias de visibilidad institucional y promoción de servicios.
Resumen por mes:
Octubre (22 publicaciones): Enfoque en seguridad, identidad cultural y servicios institucionales. Se promovieron simulacros, actividades deportivas y culturales, campañas de seguridad, y la oferta de créditos.
Noviembre (15 publicaciones): Fortalecimiento de capacidades, apoyo educativo y transparencia. Se promovieron capacitaciones, subsidios, alianzas estratégicas y la rendición de cuentas.
Diciembre (18 publicaciones): Incentivos municipales, sostenibilidad y transparencia. Se destacaron la entrega de incentivos, prácticas ecológicas y la rendición de cuentas como cierre de año.
La estrategia garantizó una conexión efectiva con los afiliados, reforzando la presencia y confianza en la CSC.
2. Ferias Realizadas – Cuarto Trimestre 2024
Feria de servicios en Sopó.
Entrega de incentivos navideños en provincias de Cundinamarca.
3. Actualizaciones Web – Octubre, Noviembre y Diciembre 2024
Se implementaron mejoras en la página web de la CSC para optimizar el acceso a información clave:
Creación del link de noticias.
Incorporación del link de alianzas.
Publicación de notas de prensa.
Publicación del banner de rendición de cuentas.</t>
  </si>
  <si>
    <t>El seguimiento al Plan de Comunicaciones durante el cuarto trimestre de 2024 evidencia un cumplimiento del 85.7%, con la ejecución de 6 de las 7 actividades programadas. La única actividad pendiente es la capacitación del equipo de Atención al Cliente, además de la necesidad de fortalecer la periodicidad en la difusión del boletín interno. Se recomienda reprogramar la capacitación y establecer un cronograma claro para la publicación del boletín, asegurando su continuidad. Como mejora para la próxima vigencia, se propone implementar un sistema de seguimiento que permita medir el impacto de las estrategias de comunicación y optimizar su alcance dentro de la entidad.</t>
  </si>
  <si>
    <t>Durante los meses de octubre, noviembre y diciembre de 2024, la Corporación Social de Cundinamarca (CSC) realizó un total de 233 nuevas afiliaciones, reafirmando la confianza de los funcionarios públicos en los servicios ofrecidos.
Octubre: Se llevaron a cabo 99 nuevas afiliaciones. Aunque el flujo de créditos fue bajo, las vinculaciones demostraron que la CSC sigue siendo una opción confiable y valorada en la región.
Noviembre: El número de 76 nuevas afiliaciones mostró una continuidad en la confianza de los funcionarios públicos, consolidando la reputación de la CSC como una entidad preferida.
Diciembre: Con 58 afiliaciones, este mes reflejó una disminución estacional habitual, pero las estrategias de acercamiento y ferias de servicios permitieron seguir difundiendo la oferta de la CSC.</t>
  </si>
  <si>
    <t>El proceso superó la meta establecida, alcanzando 233 afiliaciones frente a las 110 proyectadas, lo que representa un excelente  cumplimiento del indicador.
Este resultado refleja un alto desempeño en la gestión de afiliaciones, lo que contribuye al fortalecimiento institucional. Como acción de mejora para la próxima vigencia, se recomienda implementar un sistema de seguimiento y fidelización de afiliados, con el fin de garantizar su permanencia y fortalecer la relación con la entidad, además de evaluar estrategias para continuar con el crecimiento sostenido en nuevas afiliaciones y posiblemente otorgamiento de créditos</t>
  </si>
  <si>
    <t>En el  Cuarto  trimestre del 2024 se entregaron 2,253 incentivos navideños,  visitando a los afiliados , en las 15 provincias del departamento,  se desarrollaron los cuatro (4) cursos ofrecidos por la CSC que fueron los siguientes: Curso de Emprendimiento Empresarial, Curso de Comunicación asertiva, inteligencia emocional inclusión y liderazgo, Curso de Redacción y Ortografía, y Curso de Primeros auxilios y manejo de emergencias. Los cursos se ofrecieron a través de Fondecun., beneficiando a 248 inscritos, se programaron y , ofrecieron dos conferencias con las temáticas “Comunicación efectiva para resolver conflictos y construir relaciones y “Cómo reacionar ante la crisis y brindar primeros auxilios psicológicos”. benficiando a 88 inscritos.Para un total de beneficiados con los programas de Bienestar de 2,589 usuarios</t>
  </si>
  <si>
    <t>Durante el cuarto trimestre de 2024, se entregaron 2253 incentivos navideños, realizando visitas a los afiliados en diferentes provincias del departamento. Asimismo, se evidenció la participación de afiliados en los cursos “Comunicación efectiva para resolver conflictos y construir relaciones” y “Cómo reaccionar ante la crisis y brindar primeros auxilios psicológicos”.
El indicador refleja avances en la gestión de bienestar para los afiliados. No obstante, se recomienda consolidar mejor las evidencias, incorporando registros fotográficos, listados de asistencia y listados de entrega, con el fin de identificar de manera más precisa a los beneficiarios de las actividades de bienestar y fortalecer la trazabilidad de estas acciones.</t>
  </si>
  <si>
    <t>En el cuarto trimestre se visitaron 94 municipios del departamento y se realizaron 549 visitas . Se cubrieron las 15 provincias, eligiendo un municipio por cada una de ellas, para concentrar a los afiliados, promocionar el portafolio de servicios de la Entidad y hacer entrega de los incentivos navideños. En el transcurso del año  se visitaron 94  municipio. No se visitaron 22  correspondientes a las Provincias de  Almeidas y Ubatè  que no tuvieron asesor comercial  al igual Guavio que lo tuvo solo en el mes de octubre y principio de noviembre</t>
  </si>
  <si>
    <t>En el último trimestre de 2024, el proceso superó la meta trimestral de cobertura territorial visitando 94 de 116 municipios, reflejando un esfuerzo significativo en la atención a los afiliados. La estrategia de centralizar actividades por provincia permitió optimizar recursos y promover de manera eficiente los servicios de la Entidad.
Sin embargo, aún queda un 18.9% de municipios (22 de 116) sin visitar, lo que representa una oportunidad de mejora para el próximo período. Se recomienda priorizar estas localidades en la siguiente vigencia, reforzando la planificación y los recursos necesarios para alcanzar la cobertura total. Además, se sugiere fortalecer la calidad de las evidencias para garantizar que cada visita quede debidamente documentada y respaldada.</t>
  </si>
  <si>
    <t>En el último trimestre del 2024 se hicieron 32 giros de Subsidios Educativos para educación superior de hijos de afiliados a la Entidad, correspondientes a tres (3) beneficiarios de años anteriores y a 29 nuevos beneficiarios de la convocatoria 2024, que recibieron su primer giro de Subsidio Educativo. En la vigencia 2024 se beneficiaron 50 hijos de afiliados con el subsdio educativo</t>
  </si>
  <si>
    <t>El proceso cumplió el 100% del indicador, entregando 49 subsidios educativos en el segundo semestre de 2024, incluyendo 29 nuevos beneficiarios gracias a una nueva convocatoria. Estos resultados reflejan una estartegia efectiva y un impacto positivo en la población afiliada, fortaleciendo el compromiso de la Entidad con la educación. Se sugiere mejorar la promoción de futuras convocatorias para ampliar aún más los beneficios.</t>
  </si>
  <si>
    <t>Durante el Cuarto  Trimestre de 2024 se  radicaron 498 créditos y se  desembolsaron 509 de la totalidad de créditos en trámite a la fecha, la meta esperada   era de 400. En la vigencia 2024 se desembolsaron 1,315 creditos y  la meta esperada  era de 1,800 crèditos alcanzando el 73%</t>
  </si>
  <si>
    <t>En el último trimestre de 2024, el proceso alcanzó un 127.25% de cumplimiento en el desembolso de créditos, con 509 créditos otorgados frente a los 400 proyectados. Este desempeño refleja una gestión destacada a nivel trimestral.
Sin embargo, a nivel anual, el indicador quedó en un 73.05% de cumplimiento, con 1,315 créditos desembolsados de los 1,800 programados. Esto evidencia un esfuerzo constante por parte del proceso, aunque persisten retos para alcanzar las metas anuales.
Se recomienda reforzar las estrategias de promoción de los créditos disponibles, brindar mayor acompañamiento a los afiliados para facilitar el cumplimiento de los requisitos, y optimizar los tiempos de radicación y desembolso. Asimismo, resulta importante analizar las barreras que limitaron el cumplimiento anual y definir acciones concretas para superarlas en la próxima vigencia.</t>
  </si>
  <si>
    <t>De los 509 créditos desembolsados, 32 correspondieron a vivienda hipotecaria, de los cuales 11 creditos cumplieron con el tiempo de desembolso no mayor a 30 dias y 21 creditos no cumplieron con  el tiempo establecido.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</si>
  <si>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Durante el cuarto trimestre, el proceso cumplió en un 8.59% con el indicador de desembolso oportuno, logrando desembolsar 11 de los 32 créditos hipotecarios dentro del plazo establecido. Sin embargo, 21 créditos superaron los 30 días de procesamiento, lo que representa un 65% de los casos.
Se recomienda investigar las causas de los retrasos y optimizar los procesos involucrados para mejorar la eficiencia y garantizar una mayor satisfacción de los afiliados en futuros períodos.</t>
  </si>
  <si>
    <t>De los 509 créditos  desembolsados en el cuarto  trimestre  477 corresponden  corresponden a créditos de consumo, de los cuales 219 cumplieron con el tiempo establecido de 15 dias y  258 créditos  se llevaron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</si>
  <si>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Durante el cuarto trimestre, el 54% de los créditos de consumo (258 de 477) superaron el plazo establecido de 15 días, principalmente debido a demoras en la entrega de documentos por parte de los afiliados y en los procesos de verificación. Para optimizar el cumplimiento del indicador, se recomienda implementar alertas tempranas, fortalecer la comunicación con los afiliados sobre los requisitos documentales, agilizar las validaciones internas y establecer tiempos límite para la entrega de documentación.
Para la próxima vigencia, se sugiere ajustar el indicador para reflejar los tiempos efectivos del proceso, considerando únicamente los días en que la documentación esté completa y lista para trámite. Además, se recomienda automatizar el seguimiento a las solicitudes, permitiendo identificar cuellos de botella y mejorar la eficiencia en la gestión de los créditos.</t>
  </si>
  <si>
    <t>El indicador dio como resultado del cuarto  trimestre un 31% la oficina Asesora Jurídica debe implentar las acciones necesarias para cumplir con la meta esperada.</t>
  </si>
  <si>
    <t>El indicador no cumple con la meta establecida, ya que la cartera en estado jurídico nuevamente alcanzó el 31%, superando en 7 puntos porcentuales en la meta estableida de mantener por debajo del 24%. La persistencia de esta tendencia en los últimos dos trimestres evidencia que las estrategias implementadas hasta el momento no han sido suficientes para reducir el nivel de cartera en estado jurídico, lo que hace necesario ajustar y reforzar las acciones correctivas. En este sentido, se recomienda realizar una revisión integral de los resultados obtenidos durante el año y presentar un plan de mejora actualizado para la próxima vigencia. Además, la evaluación de posibles ajustes al indicador debe considerar tanto la sostenibilidad financiera de la entidad como la efectividad de las estrategias de cobranza implementadas.</t>
  </si>
  <si>
    <t>El resultado del  indicador   refleja una gestión eficiente y control de los ingresos,  realizando un  desglose eficiente de los recaudos recibidos en el cuarto trimestre de 2024</t>
  </si>
  <si>
    <t>El indicador mostró un desempeño excelente durante el año, alcanzando un 99.83% de precisión en el cuarto trimestre, con una mínima diferencia entre el valor recaudado y desglosado. Esto evidencia una gestión eficiente y un adecuado control de los ingresos. Para la siguiente vigencia, se recomienda consolidar las buenas prácticas implementadas y evaluar posibles mejoras en los procesos de conciliación para optimizar aún más la gestión financiera.</t>
  </si>
  <si>
    <t>El indicador  se mantuvo   respecto del trimestre anterior, debido a la gestión que se  desarrolló el personal contratado para el cobro en estado persuasivo en la vigencia 2024.</t>
  </si>
  <si>
    <t>El indicador no cumple con la meta establecida, ya que la cartera en estado persuasivo alcanzó 3.3%, superando en 1.3 puntos porcentuales la meta del 2%. A pesar de los esfuerzos del personal contratado para la gestión de cobro, el porcentaje se incrementó ligeramente respecto al trimestre anterior, lo que indica la necesidad de fortalecer las estrategias de recuperación. Para la próxima vigencia, se recomienda evaluar el desempeño de las acciones implementadas, ajustar los mecanismos de cobranza y considerar estrategias adicionales que permitan mejorar la efectividad en la reducción de la cartera en estado persuasivo.</t>
  </si>
  <si>
    <t>El  resultado del indicador del cuarto trimestre cumplió con la meta establecida, lo que denota la, por la gestión que desarrollada por el personal contratado para el cobro pre-jurídico en la vigencia 2024</t>
  </si>
  <si>
    <t>El indicador cumple con la meta establecida, ya que la cartera en estado pre-jurídico alcanzó 2.1%, manteniéndose dentro del límite de la meta. Este resultado refleja una gestión efectiva del cobro pre-jurídico por parte del personal contratado durante la vigencia 2024, evidenciando el impacto positivo de las estrategias implementadas. Para la próxima vigencia, se recomienda consolidar las acciones que han permitido este cumplimiento y evaluar posibles mejoras en los procesos de cobranza para garantizar la sostenibilidad de estos resultados.</t>
  </si>
  <si>
    <t xml:space="preserve">De los 6 contratos proyectados en el PAA para el cuarto trimestre se ejecutaron 5 contratos </t>
  </si>
  <si>
    <t>El indicador cumple parcialmente, alcanzando 5 de las 6 contrataciones programadas para el cuarto trimestre. Además, se completaron las 4 contrataciones pendientes del trimestre anterior (contratos 24-0019, 24-0012, 24-0014, 24-0015 y 24-0019), evidenciando un adecuado seguimiento y ejecución. No obstante, queda pendiente la actualización de iSolution, aunque se reconoce que el proceso ha realizado el respectivo seguimiento. Para la próxima vigencia, se recomienda priorizar la gestión de esta actualización y continuar con el monitoreo riguroso de la ejecución contractual para garantizar el cumplimiento total del indicador.</t>
  </si>
  <si>
    <t xml:space="preserve">En el trimestre se reporto ante el ente de control SIA Observa, 27 contratos, en  el mes de Octubre 13, en Noviembre 11, y en Diciembre 3, cada uno de estos contratos fueron rendidos dentro de los 3 primeros días hábiles de cada mes. Como evidencia de adjunta las actas y la constancia de rendicion descargado de la plataforma de SIA OBSERVA. </t>
  </si>
  <si>
    <t>El indicador cumple con la meta establecida, reflejando un adecuado desempeño en la rendición oportuna de los contratos. Se recomienda mantener este cumplimiento y continuar con la documentación adecuada de las evidencias para garantizar la trazabilidad del proceso.
Para la próxima vigencia, se sugiere automatizar alertas internas que notifiquen con anticipación los plazos de reporte, lo que permitirá una gestión más eficiente y oportuna. Adicionalmente, se recomienda realizar una verificación previa de los documentos antes de su carga en la plataforma, con el fin de evitar correcciones innecesarias y agilizar el proceso de rendición.</t>
  </si>
  <si>
    <t xml:space="preserve">Se realiza la reevaluacion a 104 OPS directas de 106 con personas naturales, quesando dos en Reserva que son los contratos 24-003 y 24-074 adicionalmente no se puede realizar reevaluacion a los siguientes procesos por su estado en Reserva 24-0012 Previsora, 24-005 Vigias, y el contato de arrendamiento. </t>
  </si>
  <si>
    <t>Durante el cuarto trimestre, se verificó en la red de la CSC que la mayoría de los contratos finalizaron en diciembre, contando con sus respectivas actas de terminación. Asimismo, la reevaluación de los contratos obtuvo calificaciones entre 4 y 5.
Se identificó que cinco contratos fueron reservados para la siguiente vigencia, asegurando su continuidad. El indicador cumple con lo establecido; sin embargo, se recomienda al proceso mantener actualizada la red de la entidad con toda la documentación contractual, garantizando la trazabilidad y transparencia en la gestión.</t>
  </si>
  <si>
    <t>El indicador cumple con la meta establecida, ya que se llevaron a cabo 22 mantenimientos preventivos conforme al Plan de Mantenimiento de Equipos de Cómputo 2024, cubriendo los equipos de Archivo, Almacén, Portería y Atención al Cliente. No obstante, no se cuenta con un registro fotográfico u otro tipo de evidencia documental que respalde las actividades realizadas. Se recomienda fortalecer la documentación de los mantenimientos, asegurando la inclusión de registros visuales u otros soportes que permitan verificar y dar trazabilidad a las intervenciones efectuadas.</t>
  </si>
  <si>
    <t>Se realizó soporte de mantenimiento correctivo a los equipos de la red y soporte a los usuarios. Se encuentran documentados 8 requerimientos.</t>
  </si>
  <si>
    <t>El indicador cumple con la meta establecida, ya que se realizaron mantenimientos correctivos a los equipos y soporte a los usuarios, atendiendo las solicitudes presentadas. Se documentaron 59 reportes, que incluyen soluciones a peticiones de funcionarios, tickets de Novasoft, aperturas y cierres de correos, entre otros. Se recomienda incluir en los reportes información sobre el estado y progreso de cada solicitud, con el objetivo de mejorar el seguimiento y la comunicación con los usuarios.</t>
  </si>
  <si>
    <t>Actualmente se encuentran vigentes y en ejecucion las Ordenes de Compra de Licencias office y Contratos de compra de licencias de antivirus, soporte y mantenimiento de ERP NOVASOFT.</t>
  </si>
  <si>
    <t>El indicador cumple con la gestión y adquisición de proyectos tecnológicos, evidenciando avances en la ejecución de contratos orientados a fortalecer la infraestructura tecnológica de la entidad.
Durante el trimestre, se formalizaron los siguientes contratos:
Contrato No. 24-105: Actualización y soporte del ERP Novasoft.
Contrato No. 24-017: Adquisición de cinco (5) licencias de Office.
Contrato No. 24-011: Compra de 87 licencias de antivirus.
Estos avances reflejan una gestión efectiva en la actualización y mantenimiento de los sistemas tecnológicos. Se recomienda continuar con el seguimiento a la ejecución de estos contratos para asegurar su cumplimiento y el adecuado aprovechamiento de los recursos adquiridos.</t>
  </si>
  <si>
    <t xml:space="preserve">Se realizó seguimiento de los planes y sus actividades .De las 19 actividades se culminaron 11 a satisfacción. </t>
  </si>
  <si>
    <t>De acuerdo con las evidencias aportadas y el seguimiento a los planes. El indicador presenta un cumplimiento parcial, ya que de las 19 actividades programadas, solo 2 fueron ejecutadas en su totalidad, evidenciando un retraso en la implementación de los planes. 
En el PETIC, todas las actividades fueron completadas según lo programado. Sin embargo, aún quedan pendientes acciones dentro del Plan de Riesgos de Seguridad y el Plan de Seguridad y Privacidad de la Información, lo que resalta la necesidad de fortalecer el seguimiento y ejecución de estas actividades.
Para la próxima vigencia, se recomienda ajustar los cronogramas de trabajo, priorizando actividades que puedan ser ejecutadas en el corto plazo y redistribuyendo aquellas que requieran mayor planificación. Asimismo, es clave fortalecer el monitoreo del avance de cada plan y establecer mecanismos que garanticen su cumplimiento dentro de los plazos establecidos.</t>
  </si>
  <si>
    <t>Se asignó por parte del área de sistemas un espacio en servidor local para almacenar un total de 1 Terabyte, en el cual se ha ido almacenando el archivo digital para seguridad del mismo.
Se logró la ampliación de un nuevo estante con la propietaria de la bodega de archivo central, logrando conseguir más espacio para el almacenamiento (Capacidad para 168 cajas tamaño X300).
A diario se viene controlando la correcta temperatura que debe estar entre 18 y 23 ºC y con una con humedad relativa promedio entre 55 y 60 % No se presentaron novedades importantes a considerar.
La digitalización de garantías recibidas y custodiadas por el área de archivo se encuentra al día por el periodo comprendido al trimestre reportado, así mismo se logró la meta de digitalizar esta documentación de manera diaria conforme a la recepción, durante el mes de noviembre terminó el contrato del escaner con el cual se venían digitalizando los documentos antiguos pendientes, el 21 de noviembre de 2024 se hizo la solicitud oficial de un escaner de alto rendimiento ante la correspondiente área de sistemas de la CSC, el 19 de diciembre de 2024 fue respondido que se encuentra en proceso de contratación la adquisición de nuevos equipos multifuncionales para cumplir las necesidades.</t>
  </si>
  <si>
    <t>El indicador cumple con la meta establecida, ya que se ejecutaron las 4 actividades programadas. Se asignó 1 Terabyte en el servidor local para el resguardo del archivo digital y se amplió el espacio físico en la bodega de archivo central con capacidad para 168 cajas. Además, se mantuvo el control ambiental del archivo dentro de los parámetros adecuados y la digitalización de garantías está al día. No se evidenció gestión en la eliminación de archivos, por lo que se recomienda retomar esta actividad conforme a las tablas de retención documental en la próxima vigencia.</t>
  </si>
  <si>
    <t xml:space="preserve">Durante el Cuarto trimestre del año 2024, se realizaron las 5 actividades programadas: actividad 2-  fumigaciónes a todo el edificio y al area de archivo, la Actividades 3. Recarga de extintores  y actividad 8. Lavados y desinfección de tanques de almacenamiento de agua,  estas actividades se cumplieron mediante el contrato de servicios nº 24-0009 con la empresa DYSAP.  las actividades 5 y 9. limpieza y revisión general de canales y bajantes de aguas lluvias todo el edificio y Arreglo y cambio de guardas en escritorios  y  puertas de oficinas según necesidad. se efectuo mediante el CONTRATO DE PRESTACIÓN DE SERVICIOS PROFESIONALES N.º 24-0019 con la empresa  INFRAESTRUCTURA CAR Y CIA SAS </t>
  </si>
  <si>
    <t xml:space="preserve">Se revisaron las evidencias aportadas por el proceso, donde se verificó la ejecución de las cinco actividades programadas. Las fumigaciones, recarga de extintores y lavado de tanques fueron respaldadas por el Contrato No. 24-0009, mientras que la limpieza de bajantes y el arreglo de guardas en escritorios y puertas fueron ejecutados a través del Contrato No. 24-0019.
El indicador se considera cumplido a satisfacción. No obstante, no se evidenció la ejecución de la actividad pendiente del trimestre anterior. Se recomienda al proceso realizar seguimiento y proporcionar un informe sobre su estado, garantizando así la ejecución de todas las actividades programadas. Para la próxima vigencia, se sugiere ajustar el cronograma de mantenimiento, priorizando las actividades postergadas yasegurando el cumplimiento. </t>
  </si>
  <si>
    <t>Teniendo en cuenta que en el segundo y tercer trimestre se realizaron los dos mantenimientos preoperativos del año, para este cuarto trimestre del año 2024 únicamente se realizaron seis (06) mantenimientos a los siguientes vehículos: OFK-544, OFK-448, OHK-864, OHK-865; se realiza lo relacionado con mantenimiento en el contrato 24-0008 de la comercializadora NELMAR y se anexaron facturas y entradas al almacén (NN2 1074, NN2 1075, NN2 1076, NN2 1108, NN2 1109, NN2 1110 y Nota Crédito 252).</t>
  </si>
  <si>
    <t>Se revisaron las evidencias aportadas por el proceso, donde se verificó que durante el segundo semestre del año se realizaron mantenimientos a los vehículos OHK-865, OFK-864, OFK-487, OFK-544 y OSM-114, los cuales fueron reportados mediante los formatos CSC-GRF-FR-05 y CSC-GRF-FR-10.
Asimismo, se evidencia la existencia de un informe y valoración del parque automotor elaborado por la empresa Pizano Echeverry y Asociados, en el cual se detalla el estado de cada uno de los vehículos.
El indicador se considera cumplido a satisfacción. Se recomienda al proceso continuar con el seguimiento periódico y garantizar la documentación de futuras inspecciones para mantener la trazabilidad y el adecuado mantenimiento del parque automotor.</t>
  </si>
  <si>
    <t>Se realizo CONTRATO DE PRESTACION DE SERVICIOS Nº 24- 0014  PROVEER INSTITUCIONAL SAS y 24-0015 HARDWARE ASESORIAS SOFTWARE LTDA , mediante la plataforma COLOMBIA COMPRA EFICIENTE. Con objeto “COMPRA DE ÚTILES PARA OFICINA Y PAPELERIA DE ACUERDO A LA NECESIDAD PARA LA PRESENTE VIGENCIA, REQUERIDOS PARA EL ADECUADO Y CORRECTO FUNCIONAMIENTO DE LA CORPORACIÓN SOCIAL DE CUNDINAMARCA.”</t>
  </si>
  <si>
    <t>Se evidencia que el proceso cumple con lo requerido, ya que se llevaron a cabo los siguientes contratos a través de la plataforma Colombia Compra Eficiente:
Contrato de Prestación de Servicios N° 24-0014 con Proveer Institucional SAS.
Contrato de Prestación de Servicios N° 24-0015 con Hardware Asesorías Software LTDA. 
El objeto de estos contratos fue la compra de útiles de oficina y papelería, de acuerdo con las necesidades de la vigencia, asegurando el adecuado y correcto funcionamiento de la Corporación Social de Cundinamarca.
Se recomienda mantener la documentación de estos procesos debidamente organizada y actualizada, garantizando la trazabilidad y transparencia en futuras adquisiciones.</t>
  </si>
  <si>
    <t>Esta actividad es de cumplimiento semestral (junio - diciembre), en este cuarto trimestre se realizo la verificacion puesto por puesto de los inventarios devolutivos  de cada funcionario y se actualizaron a diciembre 2024.</t>
  </si>
  <si>
    <t>El indicador se cumple satisfactoriamente, garantizando la correcta actualización y control de los bienes asignados a los funcionarios. Para fortalecer la gestión en la próxima vigencia, se recomienda implementar un sistema digital de seguimiento de inventarios, que permita actualizaciones en tiempo real y facilite la verificación de los bienes.
Asimismo, se sugiere mantener el proceso de verificación y actualización en cada periodo semestral, asegurando una gestión eficiente y el adecuado control de los inventarios institucionales.</t>
  </si>
  <si>
    <t>Se cumple con el propósito del indicador realizando mes a mes la respectiva interface de almacén general (octubre, noviembre y diciembre 2024) y se envía al área de contabilidad y presupuesto para el trámite correspondiente. Adicionalmente se realizo el cierre del año 2024.</t>
  </si>
  <si>
    <t>Se garantizó el cumplimiento del indicador mediante la ejecución de la interface mensual del almacén general durante el cuarto trimestre. Esta información fue gestionada de manera oportuna y remitida a las áreas correspondientes para su debido procesamiento. Además, de acuerdo con las evidencias reportadas severifica que se efectuó el cierre del año 2024, asegurando la consolidación de los movimientos de inventario y el adecuado control de los elementos devolutivos y de consumo.</t>
  </si>
  <si>
    <t>En el cuarto trimestre se da cumplimiento a los items 1,2,3,4,5,10 y 11 del cronograma de actividades del PIGA, las evidencias de los puntos 1,3,5,10,y11 con campañas de concientizacion enviadas a los correos intitucionales de todos los funcionarios de la entidad el dia 18 de diciembre del 2024.y los item 2 y 4 con el informe entregado a la subgerencia en su numeral 5.</t>
  </si>
  <si>
    <t>De acuerdo al seguimiento realizado y el cronograma del Plan Institucional de Gestión Ambiental (PIGA), se programó la ejecución de 11 actividades, de las cuales se llevaron a cabo 6, enfocadas en la sensibilización a través de campañas informativas y el ahorro de papel. No obstante, quedaron pendientes actividades como los comparativos semestrales de ahorro de agua y energía segundo semestre, así como el seguimiento a los puestos de trabajo. Como acción de mejora, se recomienda revisar el plan para identificar las causas del incumplimiento, ajustar el cronograma y proyectar actividades más viables, garantizando su ejecución mediante la asignación adecuada de recursos, la designación de responsables y la ampliación de las campañas de sensibilización a los contratistas de la entidad.</t>
  </si>
  <si>
    <t>Para el último trimestre se trasladaron las capacitaciones CONTRATACIÓN ESTATAL Y SECOP II, SERVIDOR PÚBLICO 4.0, BIG DATA,  SEGURIDAD DE LA INFORMACIÓN - TRANSFORMACIÓN DIGITAL Y GOBIERNO EN LÍNEA, EXCEL AVANZADO, PBI, PROCESOS DE AUDITORÍA DE CONTROL INTERNO Y SISTEMA DE GESTIÓN DE CALIDAD, AUDITOR INTERNO DE CALIDAD ISO 9001: 2015, ARCHIVO, GESTIÓN DOCUMENTAL, IMPLEMENTACIÓN DE LA ESTRATEGIA DE CERO PAPEL, DISEÑO Y CONSTRUCCIÓN DE INDICADORES, CURSO DE ALTA REDACCIÓN DE TEXTOS, DOCUMENTOS Y OFICIOS, GRAMÁTICA Y ORTOGRAFÍA, contempladas en el cronograma las cuales estaban sujetas al proceso de contratación para su desarrollo, y al cierre de la vigencia no fue posible realizar.
Por otra parte, se dio cumplimento con la realización del CURSO EN EL MANEJO DEL RIESGO DE EMERGENCIAS Y PRIMEROS AUXILIOS, PROBIDAD Y ÉTICA DE LO PÚBLICO, TRANSPARENCIA Y ACCESO A LA INFORMACIÓN PÚBLICA, COMUNICACIÓN ASERTIVA E INTELIGENCIA EMOCIONAL.</t>
  </si>
  <si>
    <t xml:space="preserve"> se evidenció un cumplimiento parcial del indicador, ya que de las 13 capacitaciones programadas en el Plan Institucional de Capacitación (PIC), solo se llevaron a cabo 5, lo que refleja la necesidad de fortalecer la planificación y ejecución de las actividades de formación. Como acción de mejora para la próxima vigencia, se recomienda reprogramar las capacitaciones pendientes en el primer trimestre, establecer un cronograma con fechas y responsables, priorizar modalidades virtuales o híbridas para optimizar tiempos, realizar un seguimiento mensual al avance del PIC y fomentar la participación activa del personal, asegurando así el cumplimiento del indicador y el desarrollo de competencias en los funcionarios.</t>
  </si>
  <si>
    <t>Para este trimestre se realizaron las actividades de bienestar e incentivos que impactaron el eje de equilibrio psicosocial, salud mental, diversidad e inclusión, identidad y vocación por el servicio, cumpliendo de esta manera con un total de siete (7) actividades contempladas para el periodo.</t>
  </si>
  <si>
    <t>Se revisaron las evidencias aportadas por el proceso, verificando que de las diez actividades programadas, ocho fueron ejecutadas, quedando pendientes las actividades de Transformación Digital y el Taller de Pensionados, programado para realizarse dos veces en el año, de las cuales solo se llevó a cabo una en junio.
El indicador presenta avances significativos, destacándose la ejecución de nuevas actividades como el Día de los Niños y el Coaching de Desarrollo Personal. Se recomienda revisar la programación de las actividades pendientes y definir su ejecución en la próxima vigencia para garantizar el cumplimiento integral del cronograma de bienestar.</t>
  </si>
  <si>
    <t>Se realizaron 2 de las Actividades que quedaron pendientes en el Tercer Trimestre, Exámenes médicos ocupacionales periódicos, prueba psicométrica conductor, Aplicación batería de riesgo Psicosocial, SAFL: Reconocer dificultades: investigando la causa de baja producción láctea, riesgo del uso de biberones, chupos y leche artificial, técnicas de amamantamiento. Están programas las otras 2 que están pendientes que son: TRABAJADORES-Prevención enfermedad varicosa, TRABAJADORES- Hábitos y estilos de vida saludable (motivación).
En el cuarto trimestre se programaron 8 actividades de las cuales a la fecha se realizaron las actividades ejecutadas son, Simulacro de evacuación, Aplicación de la vacuna contra la influenza, Talleres de desórdenes musculo-esqueléticos, TRABAJADORES- Taller de sensibilización prevención consumo de sustancias psicoactivas, tabaquismo y alcoholismo, TRABAJADORES- Hábitos y estilos de vida saludable ( motivación), TRABAJADORES: Manejo de estrés y ansiedad, BRIGADISTAS: Riesgos de seguridad de los brigadistas, SAFL: Hormonas I: prolactina y hormonas tiroideas, extracción, conservación, transporte y suministro de la leche materna y alimentación complementaria. cabe resaltar que las actividades que quedaron pendientes en los trimestres pasados tambien fueron ejecutas, es decir el cronograma se tuvo que modificar pero se cumplio al 100%</t>
  </si>
  <si>
    <t>Se revisaron las evidencias aportadas por el proceso, verificando que de las diez actividades programadas, nueve fueron ejecutadas, quedando pendiente la actualización de documentos del sistema.
Aunque algunas actividades no se cumplieron en las fechas pactadas inicialmente, se logró ejecutar la mayoría de ellas a lo largo del año, lo que refleja un avance significativo en la gestión de Seguridad y Salud en el Trabajo. Se recomienda priorizar la actualización documental en la próxima vigencia y ajustar la programación del plan para evitar retrasos e incumplimientos, asegurando una mejor planificación y cumplimiento de los plazos establecidos.</t>
  </si>
  <si>
    <t xml:space="preserve">El seguimento a la nómina de acuerdo con el cronograma establecido mediante memorando  No. 002 de  fecha  25 de enero 2024 se fijaron las siguientes fechas de ejecución: octubre 25, noviembre 25 y diciembre 10 de 2024, lo cual se cumplió mensualmente durante el cuarto trimestre 2024. Para el cuarto trimestre 2024 fueron ingresadas al sistema NOVASOFT 9 incapacidades. Por otra parte, se registraron 6 ingresos y 4 liquidaciones de contrato; Se genera sumatoria total de 19 novedades. Se genero un cumplimiento del 25% de la meta establecida. </t>
  </si>
  <si>
    <t>El seguimiento a la nómina se llevó a cabo conforme al cronograma establecido, garantizando la gestión oportuna de las novedades en el sistema NOVASOFT. Se evidencia un cumplimiento del 100% para el cuarto trimestre, reflejando una administración eficiente del proceso. Como acción de mejora para la próxima vigencia, se recomienda optimizar los mecanismos de monitoreo, fortalecer la gestión de novedades y evaluar estrategias que agilicen el procesamiento de incapacidades, ingresos y liquidaciones, asegurando una mayor eficiencia y efectividad en la administración de la nómina.</t>
  </si>
  <si>
    <t>Se recibio (1) incapacidad médica para recobro, del mes de diciembre de 2024, la cual se radicó debidamente ante las EPS correspondiente.</t>
  </si>
  <si>
    <t>De acuerdo con las evidencias revisadas, se presentó una nueva incapacidad en diciembre, pero no se evidencia que el proceso haya realizado la radicación correspondiente ante la EPS, lo que puede generar retrasos en la gestión del recobro.
Asimismo, no se observa seguimiento sobre el pago de las dos incapacidades pendientes del trimestre anterior, lo que deja incertidumbre sobre el estado de estos recobros.
Se recomienda realizar la radicación de la incapacidad reciente lo antes posible y verificar el estado de las incapacidades pendientes, asegurando que los pagos hayan sido efectuados y evitando acumulaciones que puedan afectar la gestión financiera y administrativa de la entidad</t>
  </si>
  <si>
    <t>Se verifico la realizacion de las evaluaciones de desempeño de los servidores en Periodo de Prueba  durante los primeros quince dias habiles, verificación realizada por parte del Auxiliar Administrativo Johan Camilo Mendez Rodriguez y la Profesional Especializada Flor Elvia Pinzon, quien ademas ralizaron el seguimiento a concertación de Compromisos Laborales de los servidores que superaron el perido de prueba.</t>
  </si>
  <si>
    <t>Si bien este trimestre no contemplaba seguimiento programado, se verificó la realización de tres seguimeintos a evaluaciones finales en las áreas de Cartera, Subgerencia Corporativa y Subgerencia Administrativa, las cuales, presumiblemente, corresponden a personas en período de prueba.
Se recomienda formalizar el formato en la ruta de calidad, asegurando que se diligencie la dependencia evaluada y la fecha del seguimiento, con el objetivo de fortalecer el control y la trazabilidad del proceso.</t>
  </si>
  <si>
    <t>Se realizó la medición de autodiagnostico en el  último trimestre de 2024 para tener en cuenta la medición para el FURAG del 2024. obteniedno un resultado &gt; 80,00</t>
  </si>
  <si>
    <t>De acuerdo con las evidencias aportadas, se estable que el proceso desarrolló la medición del autodiagnóstico en el último trimestre de 2024, obteniendo un resultado de 89 puntos, lo que indica que se cumple con la meta del indicador, establecida en más de 80 puntos.
Se recomienda implementar acciones enfocadas en fortalecer la Ruta del Servicio, que fue la de menor puntaje, y continuar con estrategias que permitan mantener y mejorar las demás rutas, asegurando así el fortalecimiento continuo de la política de talento humano en la entidad.</t>
  </si>
  <si>
    <t>Se realizó seguimiento a los acuerdos de gestión al primer semestre de 2024, la evidencia está en la ruta de Calidad. En cuanto al año  2025 dichos acuerdos están en proceso de elaboración y  el seguimiento se realiza semestralmente, por consiguiente la medicion del segundo semestre se realizará en el primer tirmestre 2025</t>
  </si>
  <si>
    <t>Se evidenció un cumplimiento parcial del indicador, dado que, aunque se han realizado seguimientos y se cuenta con evidencias de los acuerdos de gestión del primer semestre de 2024, aún falta completar el seguimiento de los acuerdos correspondientes a Contabilidad y Presupuesto, así como el de la Unidad de Cartera. Se recomienda completar estos seguimientos pendientes y dar inicio a la evaluación final de los acuerdos de 2024, además de la concertación de los acuerdos de gestión para el año 2025, asegurando su cumplimiento y alineación con los objetivos estratégicos de la entidad.</t>
  </si>
  <si>
    <t>De acuerdo al PAC del año 2024 se tenía programado  recaudar ingresos por valor de $12.155.550.314 y  se recaudaron presupuestalmente la suma de $ 12.007.175.367, lo que significa que  representa un recuado el 99% para el cuatro trimestre del año 2024.</t>
  </si>
  <si>
    <t>Durante el cuarto trimestre, se programó un recaudo de $12.155.550.314, alcanzándose un ingreso efectivo de $12.007.175.367, lo que representa un cumplimiento del 99%.
Este resultado refleja un alto nivel de cumplimiento, lo que indica una adecuada gestión del recaudo. Sin embargo, persiste una ligera brecha del 1%, por lo que se recomienda analizar los factores que generaron la diferencia y fortalecer las estrategias de cierre de recaudo. Esto permitirá asegurar el cumplimiento total de la meta y optimizar la planificación financiera para la próxima vigencia.</t>
  </si>
  <si>
    <t>De acuerdo con el PAC del 2024 se tenía programado ejecutar gastos  por valor de $ 12.155.550.314 y se ejecutó en el cuarto  trimestre la suma de $16.316.400.880 lo que significa que se sobreejutaron los gastos durante el cuarto trimestre 2024.</t>
  </si>
  <si>
    <t>Durante el cuarto trimestre, se tenía programada una ejecución de gastos por $12.155.550.314, sin embargo, se ejecutaron $16.316.400.880, lo que representa una sobreejecución del 34.24% en este periodo.
Si bien en los dos últimos trimestres se sobrepasó la ejecución de gastos, en los primeros trimestres del año no se alcanzó a ejecutar todo lo proyectado. No obstante, en el balance anual, la ejecución total del presupuesto alcanzó el 91% de lo programado, lo que refleja un alto nivel de cumplimiento.
Se recomienda revisar la distribución del gasto durante la vigencia, con el objetivo de evitar acumulaciones en los trimestres finales y lograr una ejecución más equilibrada a lo largo del año, optimizando el uso de los recursos y garantizando una planificación financiera más estable.</t>
  </si>
  <si>
    <t>Se remitieron informes a los entes de control tales como el Chip/Cuipo/CGN/Contraloría Departamental //Planeación Departamental; correspondiente al Cuarto trimestre del  2024.</t>
  </si>
  <si>
    <t>El indicador cumple con la meta establecida, ya que la remisión de informes a los entes de control durante el año 2024 se ha realizado de manera adecuada y oportuna, cumpliendo con los requisitos normativos y asegurando la transparencia en la gestión de la entidad.
Este cumplimiento refleja el compromiso con la rendición de cuentas y el seguimiento de los lineamientos establecidos. Para la próxima vigencia, se recomienda mantener el seguimiento estricto a los plazos de entrega y fortalecer los mecanismos de verificación de la información reportada, garantizando su precisión y consistencia.</t>
  </si>
  <si>
    <t xml:space="preserve">Las conciliaciones bancarias se realizan mensualmente con fecha de corte al mes inmediatamente anterior en sinergia con el área de Tesorería de la Entidad. </t>
  </si>
  <si>
    <t>Durante el cuarto trimestre, el proceso logró realizar las conciliaciones bancarias de las cuentas activas, asegurando la alineación de los registros contables con los estados bancarios. Sin embargo, se identificaron diferencias en algunos registros, incluyendo ingresos pendientes de contabilización y transacciones sin identificación clara, lo que podría afectar la precisión de los informes financieros. Se recomienda priorizar la regularización de estos registros, verificando la trazabilidad de cada transacción y fortaleciendo los controles para evitar inconsistencias en períodos futuros.</t>
  </si>
  <si>
    <t>El cumplimiento del 20,29% del cuarto trimestre 2024 obedece a la diferencia entre el PAC y el Recaudo Tesoral, el cual dista en gran medida de lo presupuestado, aunque el recaudo del trimestre fue el mayor con relación a los anteriores trimestres del presente año, pero que así mismo el promedio de gastos del trimestre aumentaron en un 61,66%.</t>
  </si>
  <si>
    <t>Se evidencia el registro de los ingresos tesorales durante el cuarto trimestre, alcanzando $9.869.218.010 frente a los $12.155.550.314 proyectados en el PAC 2024, lo que representa un 81.21% de cumplimiento en este trimestre.
A nivel anual, el recaudo total logró cubrir solo el 77.94% de la meta establecida, reflejando una brecha significativa que podría afectar la planeación financiera de la entidad. Se recomienda evaluar los factores que han limitado el cumplimiento del recaudo y fortalecer las estrategias de cobro, conciliación y planeación, con el fin de minimizar estas diferencias en la siguiente vigencia y garantizar una mayor alineación con las metas presupuestales.</t>
  </si>
  <si>
    <t>El resultado del 61,66% por encima del total presupuestado en los egresos del cuarto trimestre 2024, obedece a contratos celebrados con entidades para el desarrollo del objeto social y otros relacionados con los programas de beneficios e incentivos de fin de año a los afiliados, entidades del Departamento, empleados y deudores de la Corporación Social.</t>
  </si>
  <si>
    <t>Una vez revisadas las evidencias aportadas por el proceso, se observa que durante el cuarto trimestre el gasto ejecutado fue de $20.348.404.936, superando en un 67.38% la proyección de $12.155.550.314. Esta sobreejecución obedece a contratos para el desarrollo del objeto social y a programas de beneficios e incentivos de fin de año dirigidos a afiliados, entidades del departamento, empleados y deudores de la Corporación Social según lo reportado. 
Sin emabrgo, a nivel anual, se tenía proyectado un gasto total de $47.957.832.303, pero se ejecutaron $41.074.303.289, alcanzando un 85.67% de cumplimiento. Aunque la ejecución global del año se mantuvo dentro de un margen razonable, se recomienda realizar una planificación más precisa para evitar sobreejecuciones en los trimestres finales, asegurando una distribución más equilibrada del gasto a lo largo del año y optimizando el uso de los recursos disponibles.</t>
  </si>
  <si>
    <t xml:space="preserve">Se efectuaron al contratista encargado de la representación judicial 1397 requerimientos entre judiciales y  administrativos  
Este  reporte se puede evidenciar  en el anexo No.1 y  en la carpeta fisica que reposan en  la Oficina Asesora Juridica denominadas  REQUERIMIENTOS REALIZADOS  A M &amp; M Ver  carpeta No.4  </t>
  </si>
  <si>
    <t xml:space="preserve">El dia  21 de enero del 2025, fue remitido a los integrantes  del Comité de Conciliación y Defensa Judicial el segundo informe de la gestión y de ejecución de decisiones correspondiente al periodo comprendido  entre el 1 de julio al 31 de diciembre del 2024  con la ficha tecnica, para estudiarlo dia 29 de enero del 2025 en la sesion No.1  del comite , sinembargo no fue aprobado por los mismos como quiera que se efectuaron  ajustes.Una  vez sea aprobado  se  comunicará a la Oficina de Planeacion. El dia 23 de enero del 2025 fue enviado dicho informe a la Gerencia General. </t>
  </si>
  <si>
    <t xml:space="preserve">Este indicador es nuevo y se empezó a aplicar a partir del 29 de abril del 2024.En el cuarto trimestre de la vigencia 2024, NO fueron entregadas obligaciones a la empresa  M&amp; M  para demandar y  por consiguiente no pueden  ser marcadas  como juridico en el aplicativo NOVASOFT .LA Oficina Asesora Juridica recibió  del archivo 394 obligaciones nuevas para demandar </t>
  </si>
  <si>
    <t>Se realizó al 100% la ejecución del Plan Anual de Auditoría aprobado. Se carga como evidencia el informe consolidado de auditorías.</t>
  </si>
  <si>
    <t>Se revisaron las evidencias aportadas por el proceso, identificando que falta información sobre la auditoría en los procesos de Gestión de la Información, Recursos Físicos y Gestión del Mejoramiento.
Se recomienda actualizar el informe general e incluir los informes individuales de cada proceso auditado, con el fin de proporcionar mayor claridad sobre los resultados obtenidos y asegurar un seguimiento adecuado a las auditorías realizadas.</t>
  </si>
  <si>
    <t>El 26 de diciembre se presentó a la Contraloría Departamental el informe semestral y anual de avance Plan de Mejoramiento de la auditoría de cumplimiento vigencia 2022. Se adjunta como evidencia el radicado enviado por la Gerencia General.
Adicionalmente se envío para aprobación el Plan de Mejoramiento de la auditoría de cumplimiento vigencia 2023,  el cual ya cuenta con aprobación por parte del Ente de Control el cual se le dará cumplimiento y  en el mes de junio y diciembre del 2025 se enviará por parte de la Gerencia General el envío de dicha información.</t>
  </si>
  <si>
    <t>El indicador cumple con la meta establecida, ya que según las evidencias presentadas, se verificó la presentación del segundo informe semestral y el informe anual del avance del Plan de Mejoramiento de la auditoría 2022, los cuales fueron radicados el 26 de diciembre ante la entidad competente.
Asimismo, se confirmó la radicación del Plan de Mejoramiento de la Auditoría de Cumplimiento 2023, realizada el 23 de diciembre de 2024 bajo el número 24-004946. Se recomienda mantener el seguimiento continuo a la ejecución de los planes de mejoramiento, asegurando su cumplimiento dentro de los plazos establecidos por la Resolución 0278 de 2021 de la Contraloría Departamental.</t>
  </si>
  <si>
    <t>La oficina de Servicio al Cliente no ha enviado la información correspondiente de acuerdo al procedimiento establecido para tal fin a la oficina de Control Interno.
Se solicito publicación en la página web de los informes de seguimiento a matriz de riesgos y Plan Anticorrupción.</t>
  </si>
  <si>
    <t>Se realizó la revisión de la página web institucional, constatando que de los seis informes programados para este trimestre (PQRSD, Estado del Sistema de CI, Austeridad y Eficiencia del Gasto, PAAC, Riesgos y Auditorías), solo se evidenció la publicación de dos: PQRSD y Auditorías.
Dado que el indicador no cumple con la meta establecida, se recomienda iniciar con la elaboración y publicación de los informes pendientes, asegurando el cumplimiento normativo y fortaleciendo la transparencia en la rendición de cuentas de la entidad.</t>
  </si>
  <si>
    <t>El seguimiento quedó plasmado desde las auditorías internas reaizadas de acuerdo al cronograma de auditorìas aprobado mediante el Plan de Auditorías 2024. Se carga como evidencia la matriz interna de seguimiento a las acciones correctivas y de mejora.</t>
  </si>
  <si>
    <t>Se verificó, con base en la evidencia presentada, que se ha dado seguimiento a las acciones correctivas y de mejora dentro de la entidad. Sin embargo, en los procesos de Atención al Cliente, Direccionamiento Estratégico, Recursos Físicos y Jurídica, no se especifica el estado actual de sus acciones, lo que dificulta la trazabilidad y control del cumplimiento de las mismas.
Se recomienda organizar la información de manera estructurada para permitir una verificación clara del estado de cada hallazgo. Como acción de mejora, se sugiere implementar un seguimiento más riguroso a los resultados de las auditorías del 2024, con el fin de evitar falta de información en la próxima vigencia y garantizar un control efectivo sobre las acciones correctivas y de mejora según el proceso.</t>
  </si>
  <si>
    <t>Se realizó el envío de las campañas de autocontrol en el mes de octubre y diciembre de 2024. Se carga como evidencia soporte de los correos enviados y las campañas compartidas.</t>
  </si>
  <si>
    <t>Se verificó que, durante el cuarto trimestre, se enviaron dos campañas informativas a través de correo electrónico: una el 1 de octubre sobre Riesgo Fiscal y otra el 27 de diciembre sobre el Sistema de Control Interno (CI).
El indicador cumple con la meta establecida, evidenciando acciones de sensibilización en temas clave para la entidad. Se recomienda mantener la periodicidad de estas campañas y explorar otros medios de difusión, como charlas o material visual, para reforzar el impacto y la comprensión de los temas abordados.</t>
  </si>
  <si>
    <t>Se realizó revisión a la plataforma SIA Observa. Se adjunta pantallazos de seguimiento mensual.</t>
  </si>
  <si>
    <t>El indicador cumple con la meta establecida para el trimestre, ya que el proceso aportó evidencia de los seguimientos realizados en septiembre, noviembre y diciembre, asegurando el monitoreo de los procesos contractuales en la plataforma SIA OBSERVA.
Sin embargo, no se evidencia que las observaciones encontradas hayan sido notificadas al proceso de contratación. Se recomienda garantizar que todas las observaciones identificadas en los respectivos seguimientos sean formalmente notificadas al área de contratación, con el fin de mejorar la trazabilidad y fortalecer la supervisión de los procesos contractuales en la entidad.</t>
  </si>
  <si>
    <t>Durante el cuarto trimestre de 2024, la oficina de Planeación realizó seguimientos a las actividades propuestas en los planes, cumpliendo satisfactoriamente con el indicador. En estos seguimientos se evidenciaron avances significativos en la mayoría de los planes. Sin embargo, algunos presentan ejecuciones por debajo del 20% como los son Plan de tratamiento de riesgos de seguridad y privacidad de la información; Plan de seguridad y privacidad de la información, plan de capacitaciones. Por ello, se ofrecerá acompañamiento a estas áreas para asegurar el cumplimiento de las actividades pendientes.</t>
  </si>
  <si>
    <t>De acuerdo con las evidencias se realizó el seguimiento a la ejecución de los planes, logrando un cumplimiento del 100% del indicador. Se evidenciaron avances significativos en la mayoría de los planes; sin embargo, algunos presentan ejecuciones por debajo del 20%. 
Para fortalecer la gestión en la próxima vigencia, se recomienda implementar un cronograma de seguimiento más detallado, con alertas tempranas para identificar retrasos en la ejecución de los planes con menor avance. Asimismo, se sugiere ajustar el formato de evaluación para que refleje el cumplimiento acumulado del año, permitiendo una mejor toma de decisiones y la implementación de acciones correctivas oportunas. Estas estrategias seguramente garantizarán una ejecución más eficiente y equilibrada de los planes en la siguiente vigencia</t>
  </si>
  <si>
    <t>Crédito Y cartera</t>
  </si>
  <si>
    <t>Tras la revisión de las evidencias aportadas por el proceso, se verificó que durante el cuarto trimestre de 2024 se gestionaron más de 1.200 requerimientos, incluyendo actuaciones administrativas y judiciales, evidenciando un avance significativo en la gestión jurídica del cobro de obligaciones.
Para la próxima vigencia, se recomienda realizar un análisis detallado del impacto de estos requerimientos en la recuperación de cartera, con el objetivo de medir la efectividad de las estrategias implementadas y ajustar las acciones necesarias para optimizar la gestión. Asimismo, se sugiere fortalecer el seguimiento a la respuesta y efectividad de los requerimientos, asegurando que contribuyan de manera efectiva a la reducción de cartera pendiente.</t>
  </si>
  <si>
    <t>El proceso ha cumplido con el indicador al presentar el informe semestral del periodo compredido entre julio y diciembre sobre la gestión del Comité de Conciliación y Defensa Judicial. No obstante, se recomienda fortalecer la actualización de la información en el Sistema de Gestión de Calidad mediante el envío oportuno de las actas del comité. Esto garantizará la trazabilidad y el cumplimiento de los requisitos normativos.</t>
  </si>
  <si>
    <t xml:space="preserve">El indicador cumple con la meta establecida, ya que durante el cuarto trimestre de la vigencia 2024 no se reportó entrega de obligaciones a la firma externa M&amp;M para demanda.
Sin embargo, el proceso reporta la entrega de 394 obligaciones nuevas, No obstante, se identificó la ausencia de un registro preciso que determine cuántos casos debían ser remitidos a cobro jurídico, lo que afecta la trazabilidad y el control del proceso. Para la próxima vigencia, se recomienda implementar un sistema de seguimiento más detallado que permita registrar con claridad la cantidad total de obligaciones sujetas a cobro jurídico, asegurando una gestión más eficiente y transparente. </t>
  </si>
  <si>
    <t xml:space="preserve">Durante el cuarto trimestre, se solicitó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cumplimiento del 85.87%, </t>
  </si>
  <si>
    <t>Al cierre del trimestre, el Plan de Acción presenta un cumplimiento del 85.87%, lo que refleja un avance significativo en la ejecución de las actividades programadas para cada proceso. 
Para la próxima vigencia, se recomienda fortalecer los mecanismos de seguimiento y evaluación, promoviendo la entrega oportuna y estandarizada de evidencias por parte de cada proceso. Asimismo, se sugiere implementar estrategias de mejora continua, con el fin de optimizar la gestión del plan y garantizar un cumplimiento aún más eficiente en el siguiente periodo.</t>
  </si>
  <si>
    <t>4 TO TRIM</t>
  </si>
  <si>
    <t>3 CER TRIM</t>
  </si>
  <si>
    <t>TOTAL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</si>
</sst>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_);_(@_)"/>
    <numFmt numFmtId="165" formatCode="_-&quot;$ &quot;* #,##0.00_-;&quot;-$ &quot;* #,##0.00_-;_-&quot;$ &quot;* \-??_-;_-@_-"/>
    <numFmt numFmtId="166" formatCode="0\ %"/>
    <numFmt numFmtId="167" formatCode="0.00\ %"/>
    <numFmt numFmtId="168" formatCode="dd/mm/yyyy"/>
    <numFmt numFmtId="169" formatCode="0.0%"/>
    <numFmt numFmtId="170" formatCode="&quot;$ &quot;#,##0.00;[Red]&quot;-$ &quot;#,##0.00"/>
  </numFmts>
  <fonts count="35" x14ac:knownFonts="1">
    <font>
      <sz val="11"/>
      <color theme="1"/>
      <name val="Calibri"/>
      <charset val="1"/>
    </font>
    <font>
      <sz val="11"/>
      <color theme="1"/>
      <name val="Calibri"/>
      <family val="2"/>
      <scheme val="minor"/>
    </font>
    <font>
      <sz val="11"/>
      <color rgb="FF000000"/>
      <name val="Calibri"/>
      <family val="2"/>
      <charset val="1"/>
    </font>
    <font>
      <sz val="11"/>
      <color theme="1"/>
      <name val="Calibri"/>
      <family val="2"/>
      <charset val="1"/>
    </font>
    <font>
      <sz val="10"/>
      <name val="Arial"/>
      <family val="2"/>
      <charset val="1"/>
    </font>
    <font>
      <sz val="11"/>
      <name val="Calibri"/>
      <family val="2"/>
      <charset val="1"/>
    </font>
    <font>
      <b/>
      <sz val="11"/>
      <name val="Calibri"/>
      <family val="2"/>
      <charset val="1"/>
    </font>
    <font>
      <sz val="11"/>
      <color theme="1"/>
      <name val="Arial"/>
      <family val="2"/>
      <charset val="1"/>
    </font>
    <font>
      <sz val="11"/>
      <name val="Arial"/>
      <family val="2"/>
      <charset val="1"/>
    </font>
    <font>
      <b/>
      <sz val="11"/>
      <name val="Arial"/>
      <family val="2"/>
      <charset val="1"/>
    </font>
    <font>
      <sz val="10"/>
      <color theme="1"/>
      <name val="Arial"/>
      <family val="2"/>
      <charset val="1"/>
    </font>
    <font>
      <b/>
      <sz val="26"/>
      <name val="Arial"/>
      <family val="2"/>
      <charset val="1"/>
    </font>
    <font>
      <b/>
      <sz val="22"/>
      <name val="Arial"/>
      <family val="2"/>
      <charset val="1"/>
    </font>
    <font>
      <b/>
      <sz val="18"/>
      <name val="Arial"/>
      <family val="2"/>
      <charset val="1"/>
    </font>
    <font>
      <sz val="16"/>
      <name val="Arial"/>
      <family val="2"/>
      <charset val="1"/>
    </font>
    <font>
      <b/>
      <sz val="16"/>
      <name val="Arial"/>
      <family val="2"/>
      <charset val="1"/>
    </font>
    <font>
      <b/>
      <sz val="10"/>
      <name val="Arial"/>
      <family val="2"/>
      <charset val="1"/>
    </font>
    <font>
      <sz val="12"/>
      <name val="Arial"/>
      <family val="2"/>
      <charset val="1"/>
    </font>
    <font>
      <b/>
      <sz val="12"/>
      <name val="Arial"/>
      <family val="2"/>
      <charset val="1"/>
    </font>
    <font>
      <sz val="10"/>
      <color rgb="FFFF0000"/>
      <name val="Arial"/>
      <family val="2"/>
      <charset val="1"/>
    </font>
    <font>
      <sz val="10"/>
      <name val="Times New Roman"/>
      <family val="1"/>
    </font>
    <font>
      <b/>
      <sz val="20"/>
      <color theme="0"/>
      <name val="Arial"/>
      <family val="2"/>
      <charset val="1"/>
    </font>
    <font>
      <b/>
      <sz val="12"/>
      <color theme="0"/>
      <name val="Arial"/>
      <family val="2"/>
      <charset val="1"/>
    </font>
    <font>
      <b/>
      <sz val="11"/>
      <color theme="0"/>
      <name val="Arial"/>
      <family val="2"/>
      <charset val="1"/>
    </font>
    <font>
      <b/>
      <sz val="11"/>
      <color theme="1"/>
      <name val="Arial"/>
      <family val="2"/>
      <charset val="1"/>
    </font>
    <font>
      <b/>
      <sz val="16"/>
      <color theme="0"/>
      <name val="Arial"/>
      <family val="2"/>
      <charset val="1"/>
    </font>
    <font>
      <b/>
      <sz val="10"/>
      <color theme="0"/>
      <name val="Arial"/>
      <family val="2"/>
      <charset val="1"/>
    </font>
    <font>
      <b/>
      <sz val="18"/>
      <color theme="0"/>
      <name val="Calibri"/>
      <family val="2"/>
      <charset val="1"/>
    </font>
    <font>
      <sz val="8"/>
      <color theme="1"/>
      <name val="Arial"/>
      <family val="2"/>
      <charset val="1"/>
    </font>
    <font>
      <b/>
      <sz val="18"/>
      <color theme="0"/>
      <name val="Arial"/>
      <family val="2"/>
      <charset val="1"/>
    </font>
    <font>
      <sz val="11"/>
      <color theme="1"/>
      <name val="Calibri"/>
      <family val="2"/>
    </font>
    <font>
      <sz val="10"/>
      <name val="Arial"/>
      <family val="2"/>
    </font>
    <font>
      <sz val="10"/>
      <color rgb="FFFF0000"/>
      <name val="Arial"/>
      <family val="2"/>
    </font>
    <font>
      <sz val="12"/>
      <color theme="1"/>
      <name val="Arial"/>
      <family val="2"/>
    </font>
    <font>
      <sz val="11"/>
      <color indexed="8"/>
      <name val="Calibri"/>
      <family val="2"/>
      <charset val="1"/>
    </font>
  </fonts>
  <fills count="13">
    <fill>
      <patternFill patternType="none"/>
    </fill>
    <fill>
      <patternFill patternType="gray125"/>
    </fill>
    <fill>
      <patternFill patternType="solid">
        <fgColor theme="0"/>
        <bgColor rgb="FFFFF2CC"/>
      </patternFill>
    </fill>
    <fill>
      <patternFill patternType="solid">
        <fgColor theme="0" tint="-0.14999847407452621"/>
        <bgColor rgb="FFBDD7EE"/>
      </patternFill>
    </fill>
    <fill>
      <patternFill patternType="solid">
        <fgColor theme="9" tint="0.79989013336588644"/>
        <bgColor rgb="FFFBE5D6"/>
      </patternFill>
    </fill>
    <fill>
      <patternFill patternType="solid">
        <fgColor rgb="FFFFFF00"/>
        <bgColor rgb="FFFFFF00"/>
      </patternFill>
    </fill>
    <fill>
      <patternFill patternType="solid">
        <fgColor rgb="FF002060"/>
        <bgColor rgb="FF203864"/>
      </patternFill>
    </fill>
    <fill>
      <patternFill patternType="solid">
        <fgColor theme="7" tint="0.79989013336588644"/>
        <bgColor rgb="FFFBE5D6"/>
      </patternFill>
    </fill>
    <fill>
      <patternFill patternType="solid">
        <fgColor theme="0"/>
        <bgColor indexed="64"/>
      </patternFill>
    </fill>
    <fill>
      <patternFill patternType="solid">
        <fgColor theme="9" tint="0.79998168889431442"/>
        <bgColor rgb="FFBDD7EE"/>
      </patternFill>
    </fill>
    <fill>
      <patternFill patternType="solid">
        <fgColor theme="9" tint="0.79998168889431442"/>
        <bgColor rgb="FFFFF2CC"/>
      </patternFill>
    </fill>
    <fill>
      <patternFill patternType="solid">
        <fgColor theme="0"/>
        <bgColor rgb="FFFFFF00"/>
      </patternFill>
    </fill>
    <fill>
      <patternFill patternType="solid">
        <fgColor rgb="FF00B050"/>
        <bgColor rgb="FFFFF2CC"/>
      </patternFill>
    </fill>
  </fills>
  <borders count="24">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medium">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rgb="FF000000"/>
      </left>
      <right style="medium">
        <color rgb="FF000000"/>
      </right>
      <top style="medium">
        <color indexed="64"/>
      </top>
      <bottom style="thin">
        <color rgb="FF000000"/>
      </bottom>
      <diagonal/>
    </border>
  </borders>
  <cellStyleXfs count="24">
    <xf numFmtId="0" fontId="0" fillId="0" borderId="0"/>
    <xf numFmtId="166" fontId="30" fillId="0" borderId="0" applyBorder="0" applyProtection="0"/>
    <xf numFmtId="164" fontId="2" fillId="0" borderId="0"/>
    <xf numFmtId="165" fontId="30" fillId="0" borderId="0" applyBorder="0" applyProtection="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166" fontId="30" fillId="0" borderId="0" applyBorder="0" applyProtection="0"/>
    <xf numFmtId="166" fontId="30" fillId="0" borderId="0" applyBorder="0" applyProtection="0"/>
    <xf numFmtId="0" fontId="30" fillId="0" borderId="0"/>
    <xf numFmtId="0" fontId="1" fillId="0" borderId="0"/>
    <xf numFmtId="0" fontId="1" fillId="0" borderId="0"/>
    <xf numFmtId="164" fontId="34" fillId="0" borderId="0"/>
    <xf numFmtId="0" fontId="31" fillId="0" borderId="0"/>
    <xf numFmtId="0" fontId="30" fillId="0" borderId="0"/>
    <xf numFmtId="9" fontId="30" fillId="0" borderId="0" applyFont="0" applyFill="0" applyBorder="0" applyAlignment="0" applyProtection="0"/>
    <xf numFmtId="9" fontId="31" fillId="0" borderId="0" applyFont="0" applyFill="0" applyBorder="0" applyAlignment="0" applyProtection="0"/>
    <xf numFmtId="43" fontId="30" fillId="0" borderId="0" applyFont="0" applyFill="0" applyBorder="0" applyAlignment="0" applyProtection="0"/>
  </cellStyleXfs>
  <cellXfs count="194">
    <xf numFmtId="0" fontId="0" fillId="0" borderId="0" xfId="0"/>
    <xf numFmtId="0" fontId="3" fillId="0" borderId="0" xfId="0" applyFont="1"/>
    <xf numFmtId="0" fontId="5" fillId="2" borderId="0" xfId="0" applyFont="1" applyFill="1"/>
    <xf numFmtId="0" fontId="5" fillId="2" borderId="0" xfId="0" applyFont="1" applyFill="1" applyAlignment="1">
      <alignment horizontal="center"/>
    </xf>
    <xf numFmtId="0" fontId="6"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7" fillId="0" borderId="0" xfId="0" applyFont="1"/>
    <xf numFmtId="0" fontId="8" fillId="2" borderId="0" xfId="0" applyFont="1" applyFill="1"/>
    <xf numFmtId="0" fontId="8" fillId="2" borderId="0" xfId="0" applyFont="1" applyFill="1" applyAlignment="1">
      <alignment horizontal="center"/>
    </xf>
    <xf numFmtId="0" fontId="9" fillId="2" borderId="0" xfId="0" applyFont="1" applyFill="1"/>
    <xf numFmtId="0" fontId="8" fillId="2" borderId="0" xfId="0" applyFont="1" applyFill="1" applyAlignment="1">
      <alignment horizontal="center" vertical="center"/>
    </xf>
    <xf numFmtId="0" fontId="8" fillId="2" borderId="0" xfId="0" applyFont="1" applyFill="1" applyAlignment="1">
      <alignment vertical="center"/>
    </xf>
    <xf numFmtId="4" fontId="12" fillId="2" borderId="1" xfId="0" applyNumberFormat="1" applyFont="1" applyFill="1" applyBorder="1" applyAlignment="1">
      <alignment vertical="center"/>
    </xf>
    <xf numFmtId="4" fontId="4" fillId="2" borderId="0" xfId="0" applyNumberFormat="1" applyFont="1" applyFill="1" applyAlignment="1">
      <alignment horizontal="center" vertical="center"/>
    </xf>
    <xf numFmtId="4" fontId="11" fillId="2" borderId="0" xfId="0" applyNumberFormat="1" applyFont="1" applyFill="1" applyAlignment="1">
      <alignment horizontal="center" vertical="center"/>
    </xf>
    <xf numFmtId="4" fontId="11" fillId="2" borderId="0" xfId="0" applyNumberFormat="1" applyFont="1" applyFill="1" applyAlignment="1">
      <alignment vertical="center"/>
    </xf>
    <xf numFmtId="0" fontId="13"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0" xfId="0" applyFont="1" applyFill="1" applyAlignment="1">
      <alignment vertical="center"/>
    </xf>
    <xf numFmtId="0" fontId="13" fillId="2" borderId="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6" fillId="2" borderId="0" xfId="0" applyFont="1" applyFill="1" applyAlignment="1">
      <alignment horizontal="center" vertical="center"/>
    </xf>
    <xf numFmtId="0" fontId="17" fillId="2" borderId="0" xfId="0" applyFont="1" applyFill="1"/>
    <xf numFmtId="0" fontId="17" fillId="2" borderId="0" xfId="0" applyFont="1" applyFill="1" applyAlignment="1">
      <alignment horizontal="center"/>
    </xf>
    <xf numFmtId="0" fontId="18" fillId="2" borderId="0" xfId="0" applyFont="1" applyFill="1"/>
    <xf numFmtId="0" fontId="16" fillId="3" borderId="5" xfId="0" applyFont="1" applyFill="1" applyBorder="1" applyAlignment="1">
      <alignment vertical="center" wrapText="1"/>
    </xf>
    <xf numFmtId="0" fontId="16" fillId="3" borderId="6" xfId="0" applyFont="1" applyFill="1" applyBorder="1" applyAlignment="1">
      <alignment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7" xfId="0" applyFont="1" applyFill="1" applyBorder="1" applyAlignment="1">
      <alignment vertical="center" wrapText="1"/>
    </xf>
    <xf numFmtId="0" fontId="16" fillId="3" borderId="8" xfId="0" applyFont="1" applyFill="1" applyBorder="1" applyAlignment="1">
      <alignment horizontal="center" vertical="center" textRotation="90" wrapText="1"/>
    </xf>
    <xf numFmtId="167" fontId="16" fillId="3" borderId="8" xfId="0" applyNumberFormat="1" applyFont="1" applyFill="1" applyBorder="1" applyAlignment="1">
      <alignment horizontal="center" vertical="center" textRotation="90" wrapText="1"/>
    </xf>
    <xf numFmtId="0" fontId="16" fillId="3" borderId="5" xfId="0" applyFont="1" applyFill="1" applyBorder="1" applyAlignment="1">
      <alignment horizontal="center" vertical="center" wrapText="1"/>
    </xf>
    <xf numFmtId="0" fontId="16" fillId="3" borderId="9" xfId="0" applyFont="1" applyFill="1" applyBorder="1" applyAlignment="1">
      <alignment vertical="center" wrapText="1"/>
    </xf>
    <xf numFmtId="166" fontId="18" fillId="3" borderId="1" xfId="0" applyNumberFormat="1" applyFont="1" applyFill="1" applyBorder="1" applyAlignment="1">
      <alignment horizontal="center" vertical="center" wrapText="1"/>
    </xf>
    <xf numFmtId="166" fontId="18" fillId="4" borderId="5" xfId="0" applyNumberFormat="1" applyFont="1" applyFill="1" applyBorder="1" applyAlignment="1">
      <alignment horizontal="center" vertical="center" wrapText="1"/>
    </xf>
    <xf numFmtId="166" fontId="18" fillId="3" borderId="6" xfId="0" applyNumberFormat="1" applyFont="1" applyFill="1" applyBorder="1" applyAlignment="1">
      <alignment horizontal="center" vertical="center" wrapText="1"/>
    </xf>
    <xf numFmtId="166" fontId="18" fillId="4" borderId="6"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xf>
    <xf numFmtId="166" fontId="4" fillId="2" borderId="1" xfId="0" applyNumberFormat="1" applyFont="1" applyFill="1" applyBorder="1" applyAlignment="1">
      <alignment horizontal="center" vertical="center" wrapText="1"/>
    </xf>
    <xf numFmtId="168" fontId="4" fillId="2" borderId="1" xfId="0" applyNumberFormat="1" applyFont="1" applyFill="1" applyBorder="1" applyAlignment="1">
      <alignment horizontal="center" vertical="center"/>
    </xf>
    <xf numFmtId="1" fontId="4" fillId="2" borderId="1" xfId="1" applyNumberFormat="1" applyFont="1" applyFill="1" applyBorder="1" applyAlignment="1" applyProtection="1">
      <alignment horizontal="center" vertical="center"/>
    </xf>
    <xf numFmtId="167"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4" fillId="2" borderId="1" xfId="1" applyNumberFormat="1" applyFont="1" applyFill="1" applyBorder="1" applyAlignment="1" applyProtection="1">
      <alignment horizontal="center" vertical="center"/>
    </xf>
    <xf numFmtId="167" fontId="16" fillId="2" borderId="10" xfId="0" applyNumberFormat="1" applyFont="1" applyFill="1" applyBorder="1" applyAlignment="1">
      <alignment horizontal="center" vertical="center"/>
    </xf>
    <xf numFmtId="0" fontId="3" fillId="0" borderId="0" xfId="0" applyFont="1" applyAlignment="1">
      <alignment horizontal="justify"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4" borderId="1" xfId="0" applyFont="1" applyFill="1" applyBorder="1" applyAlignment="1">
      <alignment horizontal="justify" vertical="center"/>
    </xf>
    <xf numFmtId="0" fontId="19" fillId="2" borderId="0" xfId="0" applyFont="1" applyFill="1"/>
    <xf numFmtId="0" fontId="19" fillId="5" borderId="0" xfId="0" applyFont="1" applyFill="1"/>
    <xf numFmtId="0" fontId="4" fillId="2" borderId="11" xfId="0" applyFont="1" applyFill="1" applyBorder="1" applyAlignment="1">
      <alignment horizontal="center" vertical="center" wrapText="1"/>
    </xf>
    <xf numFmtId="0" fontId="4" fillId="0" borderId="1" xfId="0" applyFont="1" applyBorder="1" applyAlignment="1">
      <alignment horizontal="center" vertical="center"/>
    </xf>
    <xf numFmtId="1" fontId="4" fillId="2" borderId="0" xfId="0" applyNumberFormat="1" applyFont="1" applyFill="1" applyAlignment="1">
      <alignment horizontal="center" vertical="center"/>
    </xf>
    <xf numFmtId="12" fontId="4" fillId="2" borderId="1" xfId="0" applyNumberFormat="1" applyFont="1" applyFill="1" applyBorder="1" applyAlignment="1">
      <alignment horizontal="center" vertical="center"/>
    </xf>
    <xf numFmtId="167" fontId="16" fillId="2" borderId="1" xfId="0" applyNumberFormat="1" applyFont="1" applyFill="1" applyBorder="1" applyAlignment="1">
      <alignment horizontal="center" vertical="center"/>
    </xf>
    <xf numFmtId="167" fontId="4" fillId="2" borderId="1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 xfId="0" applyFont="1" applyFill="1" applyBorder="1" applyAlignment="1">
      <alignment horizontal="justify" vertical="center"/>
    </xf>
    <xf numFmtId="166" fontId="4" fillId="2" borderId="1" xfId="1" applyFont="1" applyFill="1" applyBorder="1" applyAlignment="1" applyProtection="1">
      <alignment horizontal="center" vertical="center"/>
    </xf>
    <xf numFmtId="166" fontId="4" fillId="2" borderId="9" xfId="0" applyNumberFormat="1" applyFont="1" applyFill="1" applyBorder="1" applyAlignment="1">
      <alignment horizontal="justify" vertical="center" wrapText="1"/>
    </xf>
    <xf numFmtId="166" fontId="4" fillId="4" borderId="12" xfId="0" applyNumberFormat="1" applyFont="1" applyFill="1" applyBorder="1" applyAlignment="1">
      <alignment horizontal="justify" vertical="center"/>
    </xf>
    <xf numFmtId="166" fontId="4" fillId="4" borderId="12" xfId="0" applyNumberFormat="1" applyFont="1" applyFill="1" applyBorder="1" applyAlignment="1">
      <alignment horizontal="justify" vertical="center" wrapText="1"/>
    </xf>
    <xf numFmtId="166" fontId="4" fillId="2" borderId="9" xfId="0" applyNumberFormat="1" applyFont="1" applyFill="1" applyBorder="1" applyAlignment="1">
      <alignment horizontal="justify" vertical="top" wrapText="1"/>
    </xf>
    <xf numFmtId="0" fontId="4" fillId="2" borderId="0" xfId="0" applyFont="1" applyFill="1"/>
    <xf numFmtId="0" fontId="19" fillId="0" borderId="0" xfId="0" applyFont="1"/>
    <xf numFmtId="0" fontId="4" fillId="4" borderId="1" xfId="0" applyFont="1" applyFill="1" applyBorder="1" applyAlignment="1">
      <alignment horizontal="justify" vertical="center" wrapText="1"/>
    </xf>
    <xf numFmtId="167" fontId="4" fillId="2" borderId="1" xfId="1" applyNumberFormat="1" applyFont="1" applyFill="1" applyBorder="1" applyAlignment="1" applyProtection="1">
      <alignment horizontal="center" vertical="center"/>
    </xf>
    <xf numFmtId="0" fontId="4" fillId="5" borderId="0" xfId="0" applyFont="1" applyFill="1"/>
    <xf numFmtId="1" fontId="4" fillId="2" borderId="1" xfId="0" applyNumberFormat="1" applyFont="1" applyFill="1" applyBorder="1" applyAlignment="1">
      <alignment horizontal="center" vertical="center" wrapText="1"/>
    </xf>
    <xf numFmtId="167" fontId="4" fillId="0" borderId="1" xfId="1" applyNumberFormat="1" applyFont="1" applyBorder="1" applyAlignment="1" applyProtection="1">
      <alignment horizontal="center" vertical="center"/>
    </xf>
    <xf numFmtId="0" fontId="4" fillId="2" borderId="1" xfId="11" applyFont="1" applyFill="1" applyBorder="1" applyAlignment="1">
      <alignment horizontal="justify" vertical="center" wrapText="1"/>
    </xf>
    <xf numFmtId="0" fontId="4" fillId="0" borderId="0" xfId="0" applyFont="1"/>
    <xf numFmtId="3" fontId="4" fillId="0" borderId="1" xfId="1" applyNumberFormat="1" applyFont="1" applyBorder="1" applyAlignment="1" applyProtection="1">
      <alignment horizontal="center" vertical="center"/>
    </xf>
    <xf numFmtId="169" fontId="4" fillId="0" borderId="1" xfId="1" applyNumberFormat="1" applyFont="1" applyBorder="1" applyAlignment="1" applyProtection="1">
      <alignment horizontal="center" vertical="center"/>
    </xf>
    <xf numFmtId="169" fontId="4" fillId="2" borderId="1" xfId="1" applyNumberFormat="1" applyFont="1" applyFill="1" applyBorder="1" applyAlignment="1" applyProtection="1">
      <alignment horizontal="center" vertical="center"/>
    </xf>
    <xf numFmtId="0" fontId="20" fillId="4" borderId="1" xfId="0" applyFont="1" applyFill="1" applyBorder="1" applyAlignment="1">
      <alignment horizontal="justify" vertical="center" wrapText="1"/>
    </xf>
    <xf numFmtId="1" fontId="4" fillId="2" borderId="1" xfId="1" applyNumberFormat="1" applyFont="1" applyFill="1" applyBorder="1" applyAlignment="1" applyProtection="1">
      <alignment horizontal="center" vertical="center" wrapText="1"/>
    </xf>
    <xf numFmtId="3" fontId="4" fillId="2"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horizontal="center" vertical="center" wrapText="1"/>
    </xf>
    <xf numFmtId="167" fontId="6" fillId="2" borderId="0" xfId="0" applyNumberFormat="1" applyFont="1" applyFill="1"/>
    <xf numFmtId="0" fontId="7" fillId="2" borderId="0" xfId="4" applyFont="1" applyFill="1"/>
    <xf numFmtId="0" fontId="22" fillId="6" borderId="14" xfId="4" applyFont="1" applyFill="1" applyBorder="1" applyAlignment="1">
      <alignment horizontal="center" vertical="center"/>
    </xf>
    <xf numFmtId="0" fontId="23" fillId="6" borderId="8" xfId="4" applyFont="1" applyFill="1" applyBorder="1" applyAlignment="1">
      <alignment horizontal="center" vertical="center" wrapText="1"/>
    </xf>
    <xf numFmtId="0" fontId="23" fillId="6" borderId="15" xfId="4" applyFont="1" applyFill="1" applyBorder="1" applyAlignment="1">
      <alignment horizontal="center" vertical="center" wrapText="1"/>
    </xf>
    <xf numFmtId="167" fontId="8" fillId="7" borderId="16" xfId="4" applyNumberFormat="1" applyFont="1" applyFill="1" applyBorder="1" applyAlignment="1">
      <alignment horizontal="center" vertical="center"/>
    </xf>
    <xf numFmtId="167" fontId="8" fillId="7" borderId="17" xfId="4" applyNumberFormat="1" applyFont="1" applyFill="1" applyBorder="1" applyAlignment="1">
      <alignment horizontal="center" vertical="center"/>
    </xf>
    <xf numFmtId="167" fontId="23" fillId="6" borderId="17" xfId="4" applyNumberFormat="1" applyFont="1" applyFill="1" applyBorder="1" applyAlignment="1">
      <alignment horizontal="center" vertical="center"/>
    </xf>
    <xf numFmtId="170" fontId="7" fillId="2" borderId="0" xfId="4" applyNumberFormat="1" applyFont="1" applyFill="1"/>
    <xf numFmtId="0" fontId="7" fillId="2" borderId="0" xfId="0" applyFont="1" applyFill="1"/>
    <xf numFmtId="0" fontId="23" fillId="6" borderId="16" xfId="4" applyFont="1" applyFill="1" applyBorder="1" applyAlignment="1">
      <alignment horizontal="center" vertical="center" wrapText="1"/>
    </xf>
    <xf numFmtId="0" fontId="23" fillId="6" borderId="13" xfId="4" applyFont="1" applyFill="1" applyBorder="1" applyAlignment="1">
      <alignment horizontal="center" vertical="center" wrapText="1"/>
    </xf>
    <xf numFmtId="0" fontId="7" fillId="2" borderId="17" xfId="0" applyFont="1" applyFill="1" applyBorder="1" applyAlignment="1">
      <alignment horizontal="justify" vertical="center"/>
    </xf>
    <xf numFmtId="167" fontId="7" fillId="2" borderId="17" xfId="4" applyNumberFormat="1" applyFont="1" applyFill="1" applyBorder="1" applyAlignment="1">
      <alignment horizontal="center" vertical="center"/>
    </xf>
    <xf numFmtId="0" fontId="23" fillId="6" borderId="1" xfId="5" applyFont="1" applyFill="1" applyBorder="1" applyAlignment="1">
      <alignment horizontal="center" vertical="center" wrapText="1"/>
    </xf>
    <xf numFmtId="167" fontId="23" fillId="6" borderId="1" xfId="4" applyNumberFormat="1" applyFont="1" applyFill="1" applyBorder="1" applyAlignment="1">
      <alignment horizontal="center" vertical="center"/>
    </xf>
    <xf numFmtId="0" fontId="7" fillId="2" borderId="0" xfId="4" applyFont="1" applyFill="1" applyAlignment="1">
      <alignment vertical="center"/>
    </xf>
    <xf numFmtId="0" fontId="23" fillId="6" borderId="1" xfId="4" applyFont="1" applyFill="1" applyBorder="1" applyAlignment="1">
      <alignment horizontal="center" vertical="center" wrapText="1"/>
    </xf>
    <xf numFmtId="0" fontId="23" fillId="6" borderId="6" xfId="4" applyFont="1" applyFill="1" applyBorder="1" applyAlignment="1">
      <alignment horizontal="center" vertical="center" wrapText="1"/>
    </xf>
    <xf numFmtId="167" fontId="10" fillId="2" borderId="16" xfId="4" applyNumberFormat="1" applyFont="1" applyFill="1" applyBorder="1" applyAlignment="1">
      <alignment horizontal="center" vertical="center"/>
    </xf>
    <xf numFmtId="0" fontId="26" fillId="6" borderId="1" xfId="5" applyFont="1" applyFill="1" applyBorder="1" applyAlignment="1">
      <alignment horizontal="center" vertical="center" wrapText="1"/>
    </xf>
    <xf numFmtId="0" fontId="3" fillId="2" borderId="0" xfId="4" applyFill="1"/>
    <xf numFmtId="167" fontId="10" fillId="2" borderId="18" xfId="4" applyNumberFormat="1" applyFont="1" applyFill="1" applyBorder="1" applyAlignment="1">
      <alignment horizontal="center" vertical="center"/>
    </xf>
    <xf numFmtId="0" fontId="28" fillId="2" borderId="6" xfId="0" applyFont="1" applyFill="1" applyBorder="1" applyAlignment="1">
      <alignment horizontal="justify" vertical="center"/>
    </xf>
    <xf numFmtId="0" fontId="28" fillId="2" borderId="6" xfId="0" applyFont="1" applyFill="1" applyBorder="1"/>
    <xf numFmtId="0" fontId="28" fillId="2" borderId="1" xfId="0" applyFont="1" applyFill="1" applyBorder="1" applyAlignment="1">
      <alignment horizontal="justify" vertical="center"/>
    </xf>
    <xf numFmtId="0" fontId="28" fillId="2" borderId="1" xfId="0" applyFont="1" applyFill="1" applyBorder="1"/>
    <xf numFmtId="167" fontId="23" fillId="6" borderId="8" xfId="4" applyNumberFormat="1" applyFont="1" applyFill="1" applyBorder="1" applyAlignment="1">
      <alignment horizontal="center" vertical="center"/>
    </xf>
    <xf numFmtId="0" fontId="5" fillId="2" borderId="0" xfId="4" applyFont="1" applyFill="1"/>
    <xf numFmtId="0" fontId="4" fillId="2" borderId="1" xfId="5" applyFont="1" applyFill="1" applyBorder="1" applyAlignment="1">
      <alignment horizontal="justify" vertical="center"/>
    </xf>
    <xf numFmtId="167" fontId="4" fillId="2" borderId="1" xfId="4" applyNumberFormat="1" applyFont="1" applyFill="1" applyBorder="1" applyAlignment="1">
      <alignment horizontal="center" vertical="center"/>
    </xf>
    <xf numFmtId="0" fontId="4" fillId="2" borderId="0" xfId="4" applyFont="1" applyFill="1"/>
    <xf numFmtId="167" fontId="26" fillId="6" borderId="1" xfId="1" applyNumberFormat="1" applyFont="1" applyFill="1" applyBorder="1" applyAlignment="1" applyProtection="1">
      <alignment horizontal="center" vertical="center"/>
    </xf>
    <xf numFmtId="0" fontId="4" fillId="2" borderId="1" xfId="4" applyFont="1" applyFill="1" applyBorder="1" applyAlignment="1">
      <alignment horizontal="justify" vertical="center"/>
    </xf>
    <xf numFmtId="167" fontId="7" fillId="2" borderId="1" xfId="4" applyNumberFormat="1" applyFont="1" applyFill="1" applyBorder="1" applyAlignment="1">
      <alignment horizontal="center" vertical="center"/>
    </xf>
    <xf numFmtId="0" fontId="10" fillId="2" borderId="1" xfId="5" applyFont="1" applyFill="1" applyBorder="1" applyAlignment="1">
      <alignment horizontal="justify" vertical="center"/>
    </xf>
    <xf numFmtId="166" fontId="7" fillId="2" borderId="1" xfId="4" applyNumberFormat="1" applyFont="1" applyFill="1" applyBorder="1" applyAlignment="1">
      <alignment horizontal="center" vertical="center"/>
    </xf>
    <xf numFmtId="166" fontId="7" fillId="2" borderId="1" xfId="1" applyFont="1" applyFill="1" applyBorder="1" applyAlignment="1" applyProtection="1">
      <alignment horizontal="center" vertical="center"/>
    </xf>
    <xf numFmtId="0" fontId="0" fillId="2" borderId="0" xfId="0" applyFill="1"/>
    <xf numFmtId="0" fontId="0" fillId="7" borderId="19" xfId="0" applyFill="1" applyBorder="1"/>
    <xf numFmtId="167" fontId="0" fillId="7" borderId="9" xfId="0" applyNumberFormat="1" applyFill="1" applyBorder="1"/>
    <xf numFmtId="0" fontId="0" fillId="7" borderId="20" xfId="0" applyFill="1" applyBorder="1"/>
    <xf numFmtId="167" fontId="0" fillId="7" borderId="17" xfId="0" applyNumberFormat="1" applyFill="1" applyBorder="1"/>
    <xf numFmtId="0" fontId="0" fillId="7" borderId="21" xfId="0" applyFill="1" applyBorder="1"/>
    <xf numFmtId="167" fontId="0" fillId="7" borderId="22" xfId="0" applyNumberFormat="1" applyFill="1" applyBorder="1"/>
    <xf numFmtId="1" fontId="4" fillId="0" borderId="1" xfId="0" applyNumberFormat="1" applyFont="1" applyBorder="1" applyAlignment="1">
      <alignment horizontal="center" vertical="center" wrapText="1"/>
    </xf>
    <xf numFmtId="1" fontId="4" fillId="0" borderId="1" xfId="1" applyNumberFormat="1" applyFont="1" applyBorder="1" applyAlignment="1" applyProtection="1">
      <alignment horizontal="center" vertical="center"/>
    </xf>
    <xf numFmtId="16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8"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67" fontId="4" fillId="0" borderId="1" xfId="0" applyNumberFormat="1" applyFont="1" applyBorder="1" applyAlignment="1">
      <alignment horizontal="center" vertical="center" wrapText="1"/>
    </xf>
    <xf numFmtId="167" fontId="16" fillId="0" borderId="1" xfId="0" applyNumberFormat="1" applyFont="1" applyBorder="1" applyAlignment="1">
      <alignment horizontal="center" vertical="center"/>
    </xf>
    <xf numFmtId="0" fontId="31" fillId="8" borderId="1" xfId="0" applyFont="1" applyFill="1" applyBorder="1" applyAlignment="1">
      <alignment horizontal="justify" vertical="center" wrapText="1"/>
    </xf>
    <xf numFmtId="166" fontId="4" fillId="2" borderId="1" xfId="0" applyNumberFormat="1" applyFont="1" applyFill="1" applyBorder="1" applyAlignment="1">
      <alignment horizontal="justify" vertical="center" wrapText="1"/>
    </xf>
    <xf numFmtId="166" fontId="4" fillId="4" borderId="1" xfId="0" applyNumberFormat="1" applyFont="1" applyFill="1" applyBorder="1" applyAlignment="1">
      <alignment horizontal="justify" vertical="center"/>
    </xf>
    <xf numFmtId="167" fontId="7" fillId="2" borderId="0" xfId="4" applyNumberFormat="1" applyFont="1" applyFill="1"/>
    <xf numFmtId="166" fontId="7" fillId="2" borderId="0" xfId="4" applyNumberFormat="1" applyFont="1" applyFill="1" applyAlignment="1">
      <alignment horizontal="center" vertical="center"/>
    </xf>
    <xf numFmtId="0" fontId="31" fillId="4" borderId="1" xfId="0" applyFont="1" applyFill="1" applyBorder="1" applyAlignment="1">
      <alignment horizontal="justify" vertical="center"/>
    </xf>
    <xf numFmtId="0" fontId="33" fillId="0" borderId="0" xfId="0" applyFont="1" applyAlignment="1">
      <alignment horizontal="justify" vertical="center"/>
    </xf>
    <xf numFmtId="0" fontId="33" fillId="0" borderId="1" xfId="0" applyFont="1" applyBorder="1" applyAlignment="1">
      <alignment horizontal="justify" vertical="center"/>
    </xf>
    <xf numFmtId="166" fontId="18" fillId="9" borderId="6"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0" fontId="10" fillId="1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31" fillId="0" borderId="1" xfId="0" applyFont="1" applyBorder="1" applyAlignment="1">
      <alignment horizontal="justify" vertical="center" wrapText="1"/>
    </xf>
    <xf numFmtId="9" fontId="31" fillId="0" borderId="23" xfId="0" applyNumberFormat="1" applyFont="1" applyBorder="1" applyAlignment="1">
      <alignment horizontal="justify" vertical="center" wrapText="1"/>
    </xf>
    <xf numFmtId="0" fontId="10" fillId="2" borderId="16" xfId="5" applyFont="1" applyFill="1" applyBorder="1" applyAlignment="1">
      <alignment horizontal="justify" vertical="center" wrapText="1"/>
    </xf>
    <xf numFmtId="0" fontId="26" fillId="6" borderId="1" xfId="5" applyFont="1" applyFill="1" applyBorder="1" applyAlignment="1">
      <alignment horizontal="left" vertical="center" wrapText="1"/>
    </xf>
    <xf numFmtId="0" fontId="10" fillId="2" borderId="10" xfId="5" applyFont="1" applyFill="1" applyBorder="1" applyAlignment="1">
      <alignment horizontal="justify" vertical="center" wrapText="1"/>
    </xf>
    <xf numFmtId="0" fontId="28" fillId="2" borderId="6" xfId="0" applyFont="1" applyFill="1" applyBorder="1" applyAlignment="1">
      <alignment horizontal="justify" vertical="center" wrapText="1"/>
    </xf>
    <xf numFmtId="0" fontId="28" fillId="2" borderId="1" xfId="0" applyFont="1" applyFill="1" applyBorder="1" applyAlignment="1">
      <alignment horizontal="justify" vertical="center" wrapText="1"/>
    </xf>
    <xf numFmtId="0" fontId="7" fillId="2" borderId="6" xfId="0" applyFont="1" applyFill="1" applyBorder="1" applyAlignment="1">
      <alignment horizontal="justify" vertical="center"/>
    </xf>
    <xf numFmtId="0" fontId="7" fillId="2" borderId="1" xfId="0" applyFont="1" applyFill="1" applyBorder="1" applyAlignment="1">
      <alignment horizontal="justify" vertical="center"/>
    </xf>
    <xf numFmtId="1" fontId="4" fillId="11" borderId="1" xfId="0" applyNumberFormat="1" applyFont="1" applyFill="1" applyBorder="1" applyAlignment="1">
      <alignment horizontal="center" vertical="center" wrapText="1"/>
    </xf>
    <xf numFmtId="166" fontId="7" fillId="2" borderId="0" xfId="4" applyNumberFormat="1" applyFont="1" applyFill="1"/>
    <xf numFmtId="166" fontId="30" fillId="0" borderId="0" xfId="1"/>
    <xf numFmtId="0" fontId="31" fillId="2" borderId="1" xfId="0" applyFont="1" applyFill="1" applyBorder="1" applyAlignment="1">
      <alignment horizontal="justify" vertical="center" wrapText="1"/>
    </xf>
    <xf numFmtId="166" fontId="7" fillId="2" borderId="0" xfId="4" applyNumberFormat="1" applyFont="1" applyFill="1" applyAlignment="1">
      <alignment horizontal="center"/>
    </xf>
    <xf numFmtId="167" fontId="7" fillId="12" borderId="0" xfId="4" applyNumberFormat="1" applyFont="1" applyFill="1" applyAlignment="1">
      <alignment horizontal="center" vertical="center"/>
    </xf>
    <xf numFmtId="0" fontId="7" fillId="12" borderId="0" xfId="4" applyFont="1" applyFill="1"/>
    <xf numFmtId="167" fontId="16" fillId="2" borderId="1" xfId="0" applyNumberFormat="1" applyFont="1" applyFill="1" applyBorder="1" applyAlignment="1">
      <alignment horizontal="center" vertical="center"/>
    </xf>
    <xf numFmtId="167" fontId="16" fillId="2" borderId="1" xfId="1" applyNumberFormat="1" applyFont="1" applyFill="1" applyBorder="1" applyAlignment="1" applyProtection="1">
      <alignment horizontal="center" vertical="center"/>
    </xf>
    <xf numFmtId="167" fontId="16" fillId="2" borderId="8" xfId="0" applyNumberFormat="1" applyFont="1" applyFill="1" applyBorder="1" applyAlignment="1">
      <alignment horizontal="center" vertical="center"/>
    </xf>
    <xf numFmtId="167" fontId="16" fillId="2" borderId="6" xfId="0" applyNumberFormat="1" applyFont="1" applyFill="1" applyBorder="1" applyAlignment="1">
      <alignment horizontal="center" vertical="center"/>
    </xf>
    <xf numFmtId="167" fontId="16" fillId="2" borderId="13"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4" xfId="0" applyFont="1" applyFill="1" applyBorder="1" applyAlignment="1">
      <alignment horizontal="center" vertical="center"/>
    </xf>
    <xf numFmtId="4" fontId="10" fillId="0" borderId="0" xfId="0" applyNumberFormat="1" applyFont="1" applyAlignment="1">
      <alignment horizontal="center" vertical="center"/>
    </xf>
    <xf numFmtId="4" fontId="4"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4" fontId="15" fillId="3"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49" fontId="15" fillId="2" borderId="1" xfId="0" applyNumberFormat="1" applyFont="1" applyFill="1" applyBorder="1" applyAlignment="1">
      <alignment horizontal="center" vertical="center"/>
    </xf>
    <xf numFmtId="0" fontId="21" fillId="6" borderId="1" xfId="4" applyFont="1" applyFill="1" applyBorder="1" applyAlignment="1">
      <alignment horizontal="center" wrapText="1"/>
    </xf>
    <xf numFmtId="167" fontId="24" fillId="7" borderId="6" xfId="4" applyNumberFormat="1" applyFont="1" applyFill="1" applyBorder="1" applyAlignment="1">
      <alignment horizontal="center" vertical="center"/>
    </xf>
    <xf numFmtId="167" fontId="24" fillId="7" borderId="13" xfId="4" applyNumberFormat="1" applyFont="1" applyFill="1" applyBorder="1" applyAlignment="1">
      <alignment horizontal="center" vertical="center"/>
    </xf>
    <xf numFmtId="167" fontId="24" fillId="7" borderId="8" xfId="4" applyNumberFormat="1" applyFont="1" applyFill="1" applyBorder="1" applyAlignment="1">
      <alignment horizontal="center" vertical="center"/>
    </xf>
    <xf numFmtId="0" fontId="25" fillId="6" borderId="1" xfId="4" applyFont="1" applyFill="1" applyBorder="1" applyAlignment="1">
      <alignment horizontal="center"/>
    </xf>
    <xf numFmtId="0" fontId="25" fillId="6" borderId="1" xfId="4" applyFont="1" applyFill="1" applyBorder="1" applyAlignment="1">
      <alignment horizontal="center" vertical="center"/>
    </xf>
    <xf numFmtId="0" fontId="27" fillId="6" borderId="1" xfId="4" applyFont="1" applyFill="1" applyBorder="1" applyAlignment="1">
      <alignment horizontal="center"/>
    </xf>
    <xf numFmtId="0" fontId="29" fillId="6" borderId="1" xfId="4" applyFont="1" applyFill="1" applyBorder="1" applyAlignment="1">
      <alignment horizontal="center" vertical="center"/>
    </xf>
    <xf numFmtId="0" fontId="23" fillId="6" borderId="1" xfId="4" applyFont="1" applyFill="1" applyBorder="1" applyAlignment="1">
      <alignment horizontal="center"/>
    </xf>
    <xf numFmtId="0" fontId="22" fillId="6" borderId="1" xfId="4" applyFont="1" applyFill="1" applyBorder="1" applyAlignment="1">
      <alignment horizontal="center"/>
    </xf>
    <xf numFmtId="0" fontId="23" fillId="6" borderId="1" xfId="4" applyFont="1" applyFill="1" applyBorder="1" applyAlignment="1">
      <alignment horizontal="center" vertical="center"/>
    </xf>
  </cellXfs>
  <cellStyles count="24">
    <cellStyle name="Millares 2" xfId="23" xr:uid="{00014BD2-ED86-466D-BAA5-8572F50B2E59}"/>
    <cellStyle name="Millares 2 2" xfId="2" xr:uid="{00000000-0005-0000-0000-000006000000}"/>
    <cellStyle name="Millares 2 2 2" xfId="18" xr:uid="{91D0B2C8-82D2-4D04-9A3B-A6162F448A7B}"/>
    <cellStyle name="Moneda 2" xfId="3" xr:uid="{00000000-0005-0000-0000-000007000000}"/>
    <cellStyle name="Normal" xfId="0" builtinId="0"/>
    <cellStyle name="Normal 2" xfId="4" xr:uid="{00000000-0005-0000-0000-000008000000}"/>
    <cellStyle name="Normal 2 2" xfId="5" xr:uid="{00000000-0005-0000-0000-000009000000}"/>
    <cellStyle name="Normal 2 2 2" xfId="6" xr:uid="{00000000-0005-0000-0000-00000A000000}"/>
    <cellStyle name="Normal 2 2 2 2" xfId="19" xr:uid="{7118E173-6A1F-496B-8851-04F01388C0BF}"/>
    <cellStyle name="Normal 2 2 3" xfId="7" xr:uid="{00000000-0005-0000-0000-00000B000000}"/>
    <cellStyle name="Normal 2 2 4" xfId="8" xr:uid="{00000000-0005-0000-0000-00000C000000}"/>
    <cellStyle name="Normal 2 2 5" xfId="17" xr:uid="{99DFF8C0-10C3-4C0D-AB35-ABBAC2253DEF}"/>
    <cellStyle name="Normal 2 3" xfId="9" xr:uid="{00000000-0005-0000-0000-00000D000000}"/>
    <cellStyle name="Normal 2 4" xfId="10" xr:uid="{00000000-0005-0000-0000-00000E000000}"/>
    <cellStyle name="Normal 2 5" xfId="16" xr:uid="{E49C38E9-C524-4804-9BF4-8690CDD9265A}"/>
    <cellStyle name="Normal 3" xfId="11" xr:uid="{00000000-0005-0000-0000-00000F000000}"/>
    <cellStyle name="Normal 3 2" xfId="20" xr:uid="{5D1726AA-7F9A-4701-B5C9-A2279C2E1E44}"/>
    <cellStyle name="Normal 4" xfId="12" xr:uid="{00000000-0005-0000-0000-000010000000}"/>
    <cellStyle name="Normal 5" xfId="15" xr:uid="{F69A62FF-3F37-427A-981E-E633C69453AC}"/>
    <cellStyle name="Porcentaje" xfId="1" builtinId="5"/>
    <cellStyle name="Porcentaje 2" xfId="13" xr:uid="{00000000-0005-0000-0000-000011000000}"/>
    <cellStyle name="Porcentaje 3" xfId="21" xr:uid="{5342ECEC-E435-4940-B173-B6AD59118095}"/>
    <cellStyle name="Porcentaje 4" xfId="14" xr:uid="{00000000-0005-0000-0000-000012000000}"/>
    <cellStyle name="Porcentaje 4 2" xfId="22" xr:uid="{EA91BEB8-AD6D-4404-8F8C-BC8353CFFABC}"/>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BFBFBF"/>
      <rgbColor rgb="FF8B8B8B"/>
      <rgbColor rgb="FF9999FF"/>
      <rgbColor rgb="FF993366"/>
      <rgbColor rgb="FFFFF2CC"/>
      <rgbColor rgb="FFD9D9D9"/>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E2F0D9"/>
      <rgbColor rgb="FFFBE5D6"/>
      <rgbColor rgb="FF99CCFF"/>
      <rgbColor rgb="FFFF99CC"/>
      <rgbColor rgb="FFCC99FF"/>
      <rgbColor rgb="FFF4B183"/>
      <rgbColor rgb="FF4472C4"/>
      <rgbColor rgb="FF33CCCC"/>
      <rgbColor rgb="FF92D050"/>
      <rgbColor rgb="FFFFCC00"/>
      <rgbColor rgb="FFFF9900"/>
      <rgbColor rgb="FFED7D31"/>
      <rgbColor rgb="FF666699"/>
      <rgbColor rgb="FFA6A6A6"/>
      <rgbColor rgb="FF002060"/>
      <rgbColor rgb="FF339966"/>
      <rgbColor rgb="FF003300"/>
      <rgbColor rgb="FF385623"/>
      <rgbColor rgb="FF993300"/>
      <rgbColor rgb="FF993366"/>
      <rgbColor rgb="FF333399"/>
      <rgbColor rgb="FF203864"/>
      <rgbColor rgb="00003366"/>
      <rgbColor rgb="00339966"/>
      <rgbColor rgb="00003300"/>
      <rgbColor rgb="00333300"/>
      <rgbColor rgb="00993300"/>
      <rgbColor rgb="00993366"/>
      <rgbColor rgb="00333399"/>
      <rgbColor rgb="00333333"/>
    </indexedColors>
    <mruColors>
      <color rgb="FF6666FF"/>
      <color rgb="FF15EBEB"/>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CUMPLIMIENTO PLAN DE ACCIÓN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'Cumplimiento 2024'!$B$14</c:f>
              <c:strCache>
                <c:ptCount val="1"/>
                <c:pt idx="0">
                  <c:v>1 MER TRIM</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2024'!$C$13:$M$13</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2024'!$C$14:$M$14</c:f>
              <c:numCache>
                <c:formatCode>0\ %</c:formatCode>
                <c:ptCount val="11"/>
                <c:pt idx="0">
                  <c:v>0.1875</c:v>
                </c:pt>
                <c:pt idx="1">
                  <c:v>0.24318997201458456</c:v>
                </c:pt>
                <c:pt idx="2">
                  <c:v>7.9732936048115641E-2</c:v>
                </c:pt>
                <c:pt idx="3">
                  <c:v>0.16001387759060701</c:v>
                </c:pt>
                <c:pt idx="4">
                  <c:v>0.18055555555555555</c:v>
                </c:pt>
                <c:pt idx="5">
                  <c:v>0.22000000000000003</c:v>
                </c:pt>
                <c:pt idx="6">
                  <c:v>8.3333333333333329E-2</c:v>
                </c:pt>
                <c:pt idx="7">
                  <c:v>0.1606237322515213</c:v>
                </c:pt>
                <c:pt idx="8">
                  <c:v>0.17138673916142302</c:v>
                </c:pt>
                <c:pt idx="9">
                  <c:v>3.4555555555555555E-2</c:v>
                </c:pt>
                <c:pt idx="10">
                  <c:v>9.1269841269841279E-2</c:v>
                </c:pt>
              </c:numCache>
            </c:numRef>
          </c:val>
          <c:extLst>
            <c:ext xmlns:c16="http://schemas.microsoft.com/office/drawing/2014/chart" uri="{C3380CC4-5D6E-409C-BE32-E72D297353CC}">
              <c16:uniqueId val="{00000000-2AC9-43CD-8A1A-7E7569EF02EF}"/>
            </c:ext>
          </c:extLst>
        </c:ser>
        <c:ser>
          <c:idx val="1"/>
          <c:order val="1"/>
          <c:tx>
            <c:strRef>
              <c:f>'Cumplimiento 2024'!$B$15</c:f>
              <c:strCache>
                <c:ptCount val="1"/>
                <c:pt idx="0">
                  <c:v>2 DO TRIM</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2024'!$C$13:$M$13</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2024'!$C$15:$M$15</c:f>
              <c:numCache>
                <c:formatCode>0\ %</c:formatCode>
                <c:ptCount val="11"/>
                <c:pt idx="0">
                  <c:v>0.1875</c:v>
                </c:pt>
                <c:pt idx="1">
                  <c:v>0.20956078761779939</c:v>
                </c:pt>
                <c:pt idx="2">
                  <c:v>0.13804037895511403</c:v>
                </c:pt>
                <c:pt idx="3">
                  <c:v>0.15386706404051431</c:v>
                </c:pt>
                <c:pt idx="4">
                  <c:v>0.12962962962962962</c:v>
                </c:pt>
                <c:pt idx="5">
                  <c:v>0.25545454545454549</c:v>
                </c:pt>
                <c:pt idx="6">
                  <c:v>0.2946127946127946</c:v>
                </c:pt>
                <c:pt idx="7">
                  <c:v>0.14577839756592292</c:v>
                </c:pt>
                <c:pt idx="8">
                  <c:v>0.18438328150589123</c:v>
                </c:pt>
                <c:pt idx="9">
                  <c:v>0.36665555555555551</c:v>
                </c:pt>
                <c:pt idx="10">
                  <c:v>0.16319444444444445</c:v>
                </c:pt>
              </c:numCache>
            </c:numRef>
          </c:val>
          <c:extLst>
            <c:ext xmlns:c16="http://schemas.microsoft.com/office/drawing/2014/chart" uri="{C3380CC4-5D6E-409C-BE32-E72D297353CC}">
              <c16:uniqueId val="{00000001-2AC9-43CD-8A1A-7E7569EF02EF}"/>
            </c:ext>
          </c:extLst>
        </c:ser>
        <c:ser>
          <c:idx val="2"/>
          <c:order val="2"/>
          <c:tx>
            <c:strRef>
              <c:f>'Cumplimiento 2024'!$B$16</c:f>
              <c:strCache>
                <c:ptCount val="1"/>
                <c:pt idx="0">
                  <c:v>3 CER TRIM</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2024'!$C$13:$M$13</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2024'!$C$16:$M$16</c:f>
              <c:numCache>
                <c:formatCode>0\ %</c:formatCode>
                <c:ptCount val="11"/>
                <c:pt idx="0">
                  <c:v>0.42666666666666664</c:v>
                </c:pt>
                <c:pt idx="1">
                  <c:v>0.23635045675732155</c:v>
                </c:pt>
                <c:pt idx="2">
                  <c:v>6.706677704194261E-2</c:v>
                </c:pt>
                <c:pt idx="3">
                  <c:v>0.19747429000668437</c:v>
                </c:pt>
                <c:pt idx="4">
                  <c:v>0.23809523809523811</c:v>
                </c:pt>
                <c:pt idx="5">
                  <c:v>0.22593406593406593</c:v>
                </c:pt>
                <c:pt idx="6">
                  <c:v>0.1505050505050505</c:v>
                </c:pt>
                <c:pt idx="7">
                  <c:v>0.24222447599729546</c:v>
                </c:pt>
                <c:pt idx="8">
                  <c:v>0.26714168526413656</c:v>
                </c:pt>
                <c:pt idx="9">
                  <c:v>0.19471111111111114</c:v>
                </c:pt>
                <c:pt idx="10">
                  <c:v>0.27823691460055094</c:v>
                </c:pt>
              </c:numCache>
            </c:numRef>
          </c:val>
          <c:extLst>
            <c:ext xmlns:c16="http://schemas.microsoft.com/office/drawing/2014/chart" uri="{C3380CC4-5D6E-409C-BE32-E72D297353CC}">
              <c16:uniqueId val="{00000000-804B-42D5-A8A4-9903629FD3B2}"/>
            </c:ext>
          </c:extLst>
        </c:ser>
        <c:ser>
          <c:idx val="3"/>
          <c:order val="3"/>
          <c:tx>
            <c:strRef>
              <c:f>'Cumplimiento 2024'!$B$17</c:f>
              <c:strCache>
                <c:ptCount val="1"/>
                <c:pt idx="0">
                  <c:v>4 TO TRIM</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2024'!$C$13:$M$13</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2024'!$C$17:$M$17</c:f>
              <c:numCache>
                <c:formatCode>0\ %</c:formatCode>
                <c:ptCount val="11"/>
                <c:pt idx="0">
                  <c:v>0.1875</c:v>
                </c:pt>
                <c:pt idx="1">
                  <c:v>0.24107142857142858</c:v>
                </c:pt>
                <c:pt idx="2">
                  <c:v>0.60827354672553346</c:v>
                </c:pt>
                <c:pt idx="3">
                  <c:v>0.17428026365999655</c:v>
                </c:pt>
                <c:pt idx="4">
                  <c:v>0.23611111111111113</c:v>
                </c:pt>
                <c:pt idx="5">
                  <c:v>0.21526315789473688</c:v>
                </c:pt>
                <c:pt idx="6">
                  <c:v>0.2866161616161616</c:v>
                </c:pt>
                <c:pt idx="7">
                  <c:v>0.22775589015447029</c:v>
                </c:pt>
                <c:pt idx="8">
                  <c:v>0.28400023610193909</c:v>
                </c:pt>
                <c:pt idx="9">
                  <c:v>0.35537777777777779</c:v>
                </c:pt>
                <c:pt idx="10">
                  <c:v>0.2638888888888889</c:v>
                </c:pt>
              </c:numCache>
            </c:numRef>
          </c:val>
          <c:extLst>
            <c:ext xmlns:c16="http://schemas.microsoft.com/office/drawing/2014/chart" uri="{C3380CC4-5D6E-409C-BE32-E72D297353CC}">
              <c16:uniqueId val="{00000000-E3ED-478C-B4FF-98A487246A1B}"/>
            </c:ext>
          </c:extLst>
        </c:ser>
        <c:dLbls>
          <c:showLegendKey val="0"/>
          <c:showVal val="1"/>
          <c:showCatName val="0"/>
          <c:showSerName val="0"/>
          <c:showPercent val="0"/>
          <c:showBubbleSize val="0"/>
        </c:dLbls>
        <c:gapWidth val="150"/>
        <c:axId val="1377898351"/>
        <c:axId val="1377897391"/>
      </c:barChart>
      <c:catAx>
        <c:axId val="13778983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crossAx val="1377897391"/>
        <c:crosses val="autoZero"/>
        <c:auto val="1"/>
        <c:lblAlgn val="ctr"/>
        <c:lblOffset val="100"/>
        <c:noMultiLvlLbl val="0"/>
      </c:catAx>
      <c:valAx>
        <c:axId val="1377897391"/>
        <c:scaling>
          <c:orientation val="minMax"/>
        </c:scaling>
        <c:delete val="1"/>
        <c:axPos val="l"/>
        <c:numFmt formatCode="0\ %" sourceLinked="1"/>
        <c:majorTickMark val="none"/>
        <c:minorTickMark val="none"/>
        <c:tickLblPos val="nextTo"/>
        <c:crossAx val="1377898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r>
              <a:rPr lang="es-419"/>
              <a:t>%</a:t>
            </a:r>
            <a:r>
              <a:rPr lang="es-419" baseline="0"/>
              <a:t> DE CUMPLIMIENTO POR PROCESO</a:t>
            </a: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1194804732430888E-2"/>
          <c:y val="1.7259167685410515E-2"/>
          <c:w val="0.97409523866036229"/>
          <c:h val="0.86467349191401199"/>
        </c:manualLayout>
      </c:layout>
      <c:barChart>
        <c:barDir val="col"/>
        <c:grouping val="stacked"/>
        <c:varyColors val="0"/>
        <c:ser>
          <c:idx val="0"/>
          <c:order val="0"/>
          <c:spPr>
            <a:solidFill>
              <a:schemeClr val="accent2"/>
            </a:solidFill>
            <a:ln>
              <a:noFill/>
            </a:ln>
            <a:effectLst/>
          </c:spPr>
          <c:invertIfNegative val="0"/>
          <c:dPt>
            <c:idx val="0"/>
            <c:invertIfNegative val="0"/>
            <c:bubble3D val="0"/>
            <c:spPr>
              <a:solidFill>
                <a:schemeClr val="accent1">
                  <a:lumMod val="75000"/>
                </a:schemeClr>
              </a:solidFill>
              <a:ln>
                <a:noFill/>
              </a:ln>
              <a:effectLst/>
            </c:spPr>
            <c:extLst>
              <c:ext xmlns:c16="http://schemas.microsoft.com/office/drawing/2014/chart" uri="{C3380CC4-5D6E-409C-BE32-E72D297353CC}">
                <c16:uniqueId val="{00000004-5824-4704-8838-30C62118ED2E}"/>
              </c:ext>
            </c:extLst>
          </c:dPt>
          <c:dPt>
            <c:idx val="1"/>
            <c:invertIfNegative val="0"/>
            <c:bubble3D val="0"/>
            <c:spPr>
              <a:solidFill>
                <a:srgbClr val="00B050"/>
              </a:solidFill>
              <a:ln>
                <a:noFill/>
              </a:ln>
              <a:effectLst/>
            </c:spPr>
            <c:extLst>
              <c:ext xmlns:c16="http://schemas.microsoft.com/office/drawing/2014/chart" uri="{C3380CC4-5D6E-409C-BE32-E72D297353CC}">
                <c16:uniqueId val="{00000003-5824-4704-8838-30C62118ED2E}"/>
              </c:ext>
            </c:extLst>
          </c:dPt>
          <c:dPt>
            <c:idx val="2"/>
            <c:invertIfNegative val="0"/>
            <c:bubble3D val="0"/>
            <c:spPr>
              <a:solidFill>
                <a:srgbClr val="00B0F0"/>
              </a:solidFill>
              <a:ln>
                <a:noFill/>
              </a:ln>
              <a:effectLst/>
            </c:spPr>
            <c:extLst>
              <c:ext xmlns:c16="http://schemas.microsoft.com/office/drawing/2014/chart" uri="{C3380CC4-5D6E-409C-BE32-E72D297353CC}">
                <c16:uniqueId val="{00000002-5824-4704-8838-30C62118ED2E}"/>
              </c:ext>
            </c:extLst>
          </c:dPt>
          <c:dPt>
            <c:idx val="3"/>
            <c:invertIfNegative val="0"/>
            <c:bubble3D val="0"/>
            <c:spPr>
              <a:solidFill>
                <a:srgbClr val="7030A0"/>
              </a:solidFill>
              <a:ln>
                <a:noFill/>
              </a:ln>
              <a:effectLst/>
            </c:spPr>
            <c:extLst>
              <c:ext xmlns:c16="http://schemas.microsoft.com/office/drawing/2014/chart" uri="{C3380CC4-5D6E-409C-BE32-E72D297353CC}">
                <c16:uniqueId val="{00000005-5824-4704-8838-30C62118ED2E}"/>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5824-4704-8838-30C62118ED2E}"/>
              </c:ext>
            </c:extLst>
          </c:dPt>
          <c:dPt>
            <c:idx val="6"/>
            <c:invertIfNegative val="0"/>
            <c:bubble3D val="0"/>
            <c:spPr>
              <a:solidFill>
                <a:srgbClr val="FF66CC"/>
              </a:solidFill>
              <a:ln>
                <a:noFill/>
              </a:ln>
              <a:effectLst/>
            </c:spPr>
            <c:extLst>
              <c:ext xmlns:c16="http://schemas.microsoft.com/office/drawing/2014/chart" uri="{C3380CC4-5D6E-409C-BE32-E72D297353CC}">
                <c16:uniqueId val="{00000008-5824-4704-8838-30C62118ED2E}"/>
              </c:ext>
            </c:extLst>
          </c:dPt>
          <c:dPt>
            <c:idx val="7"/>
            <c:invertIfNegative val="0"/>
            <c:bubble3D val="0"/>
            <c:spPr>
              <a:solidFill>
                <a:srgbClr val="FF0000"/>
              </a:solidFill>
              <a:ln>
                <a:noFill/>
              </a:ln>
              <a:effectLst/>
            </c:spPr>
            <c:extLst>
              <c:ext xmlns:c16="http://schemas.microsoft.com/office/drawing/2014/chart" uri="{C3380CC4-5D6E-409C-BE32-E72D297353CC}">
                <c16:uniqueId val="{00000009-5824-4704-8838-30C62118ED2E}"/>
              </c:ext>
            </c:extLst>
          </c:dPt>
          <c:dPt>
            <c:idx val="8"/>
            <c:invertIfNegative val="0"/>
            <c:bubble3D val="0"/>
            <c:spPr>
              <a:solidFill>
                <a:srgbClr val="FFFF00"/>
              </a:solidFill>
              <a:ln>
                <a:noFill/>
              </a:ln>
              <a:effectLst/>
            </c:spPr>
            <c:extLst>
              <c:ext xmlns:c16="http://schemas.microsoft.com/office/drawing/2014/chart" uri="{C3380CC4-5D6E-409C-BE32-E72D297353CC}">
                <c16:uniqueId val="{0000000A-5824-4704-8838-30C62118ED2E}"/>
              </c:ext>
            </c:extLst>
          </c:dPt>
          <c:dPt>
            <c:idx val="9"/>
            <c:invertIfNegative val="0"/>
            <c:bubble3D val="0"/>
            <c:spPr>
              <a:solidFill>
                <a:srgbClr val="15EBEB"/>
              </a:solidFill>
              <a:ln>
                <a:noFill/>
              </a:ln>
              <a:effectLst/>
            </c:spPr>
            <c:extLst>
              <c:ext xmlns:c16="http://schemas.microsoft.com/office/drawing/2014/chart" uri="{C3380CC4-5D6E-409C-BE32-E72D297353CC}">
                <c16:uniqueId val="{00000001-5824-4704-8838-30C62118ED2E}"/>
              </c:ext>
            </c:extLst>
          </c:dPt>
          <c:dPt>
            <c:idx val="10"/>
            <c:invertIfNegative val="0"/>
            <c:bubble3D val="0"/>
            <c:spPr>
              <a:solidFill>
                <a:srgbClr val="6666FF"/>
              </a:solidFill>
              <a:ln>
                <a:noFill/>
              </a:ln>
              <a:effectLst/>
            </c:spPr>
            <c:extLst>
              <c:ext xmlns:c16="http://schemas.microsoft.com/office/drawing/2014/chart" uri="{C3380CC4-5D6E-409C-BE32-E72D297353CC}">
                <c16:uniqueId val="{0000000B-5824-4704-8838-30C62118ED2E}"/>
              </c:ext>
            </c:extLst>
          </c:dPt>
          <c:dLbls>
            <c:dLbl>
              <c:idx val="0"/>
              <c:layout>
                <c:manualLayout>
                  <c:x val="-1.177489151801716E-3"/>
                  <c:y val="-0.3797978200252272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24-4704-8838-30C62118ED2E}"/>
                </c:ext>
              </c:extLst>
            </c:dLbl>
            <c:dLbl>
              <c:idx val="1"/>
              <c:layout>
                <c:manualLayout>
                  <c:x val="2.3549783036034104E-3"/>
                  <c:y val="-0.3663408330920092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24-4704-8838-30C62118ED2E}"/>
                </c:ext>
              </c:extLst>
            </c:dLbl>
            <c:dLbl>
              <c:idx val="2"/>
              <c:layout>
                <c:manualLayout>
                  <c:x val="-2.354978303603475E-3"/>
                  <c:y val="-0.348483949196813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24-4704-8838-30C62118ED2E}"/>
                </c:ext>
              </c:extLst>
            </c:dLbl>
            <c:dLbl>
              <c:idx val="3"/>
              <c:layout>
                <c:manualLayout>
                  <c:x val="1.177489151801716E-3"/>
                  <c:y val="-0.2830228114399713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24-4704-8838-30C62118ED2E}"/>
                </c:ext>
              </c:extLst>
            </c:dLbl>
            <c:dLbl>
              <c:idx val="4"/>
              <c:layout>
                <c:manualLayout>
                  <c:x val="-1.177489151801716E-3"/>
                  <c:y val="-0.318624152369493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24-4704-8838-30C62118ED2E}"/>
                </c:ext>
              </c:extLst>
            </c:dLbl>
            <c:dLbl>
              <c:idx val="5"/>
              <c:layout>
                <c:manualLayout>
                  <c:x val="1.177489151801716E-3"/>
                  <c:y val="-0.3596650397164331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24-4704-8838-30C62118ED2E}"/>
                </c:ext>
              </c:extLst>
            </c:dLbl>
            <c:dLbl>
              <c:idx val="6"/>
              <c:layout>
                <c:manualLayout>
                  <c:x val="4.7099566072067774E-3"/>
                  <c:y val="-0.3228874028542967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24-4704-8838-30C62118ED2E}"/>
                </c:ext>
              </c:extLst>
            </c:dLbl>
            <c:dLbl>
              <c:idx val="7"/>
              <c:layout>
                <c:manualLayout>
                  <c:x val="-8.6348206963603948E-17"/>
                  <c:y val="-0.3067885341944353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24-4704-8838-30C62118ED2E}"/>
                </c:ext>
              </c:extLst>
            </c:dLbl>
            <c:dLbl>
              <c:idx val="8"/>
              <c:layout>
                <c:manualLayout>
                  <c:x val="-1.177489151801716E-3"/>
                  <c:y val="-0.358659925639797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24-4704-8838-30C62118ED2E}"/>
                </c:ext>
              </c:extLst>
            </c:dLbl>
            <c:dLbl>
              <c:idx val="9"/>
              <c:layout>
                <c:manualLayout>
                  <c:x val="0"/>
                  <c:y val="-0.370914154467031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24-4704-8838-30C62118ED2E}"/>
                </c:ext>
              </c:extLst>
            </c:dLbl>
            <c:dLbl>
              <c:idx val="10"/>
              <c:layout>
                <c:manualLayout>
                  <c:x val="2.3549783036034321E-3"/>
                  <c:y val="-0.3151188861727369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24-4704-8838-30C62118ED2E}"/>
                </c:ext>
              </c:extLst>
            </c:dLbl>
            <c:spPr>
              <a:noFill/>
              <a:ln>
                <a:noFill/>
              </a:ln>
              <a:effectLst/>
            </c:spPr>
            <c:txPr>
              <a:bodyPr rot="0" spcFirstLastPara="1" vertOverflow="ellipsis" vert="horz" wrap="square" lIns="38100" tIns="19050" rIns="38100" bIns="19050" anchor="t" anchorCtr="0">
                <a:spAutoFit/>
              </a:bodyPr>
              <a:lstStyle/>
              <a:p>
                <a:pPr>
                  <a:defRPr sz="1050" b="1" i="0" u="none" strike="noStrike" kern="1200" baseline="0">
                    <a:ln>
                      <a:noFill/>
                    </a:ln>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2024'!$C$13:$M$13</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2024'!$C$18:$M$18</c:f>
              <c:numCache>
                <c:formatCode>0.00\ %</c:formatCode>
                <c:ptCount val="11"/>
                <c:pt idx="0">
                  <c:v>0.98916666666666664</c:v>
                </c:pt>
                <c:pt idx="1">
                  <c:v>0.93017264496113417</c:v>
                </c:pt>
                <c:pt idx="2">
                  <c:v>0.89311363877070571</c:v>
                </c:pt>
                <c:pt idx="3">
                  <c:v>0.68563549529780232</c:v>
                </c:pt>
                <c:pt idx="4">
                  <c:v>0.78439153439153442</c:v>
                </c:pt>
                <c:pt idx="5">
                  <c:v>0.91665176928334824</c:v>
                </c:pt>
                <c:pt idx="6">
                  <c:v>0.81506734006734005</c:v>
                </c:pt>
                <c:pt idx="7">
                  <c:v>0.77638249596920994</c:v>
                </c:pt>
                <c:pt idx="8">
                  <c:v>0.90691194203338998</c:v>
                </c:pt>
                <c:pt idx="9">
                  <c:v>0.95130000000000003</c:v>
                </c:pt>
                <c:pt idx="10">
                  <c:v>0.79659008920372543</c:v>
                </c:pt>
              </c:numCache>
            </c:numRef>
          </c:val>
          <c:extLst>
            <c:ext xmlns:c16="http://schemas.microsoft.com/office/drawing/2014/chart" uri="{C3380CC4-5D6E-409C-BE32-E72D297353CC}">
              <c16:uniqueId val="{00000000-5824-4704-8838-30C62118ED2E}"/>
            </c:ext>
          </c:extLst>
        </c:ser>
        <c:dLbls>
          <c:showLegendKey val="0"/>
          <c:showVal val="1"/>
          <c:showCatName val="0"/>
          <c:showSerName val="0"/>
          <c:showPercent val="0"/>
          <c:showBubbleSize val="0"/>
        </c:dLbls>
        <c:gapWidth val="300"/>
        <c:overlap val="100"/>
        <c:serLines>
          <c:spPr>
            <a:ln w="9525" cap="flat" cmpd="sng" algn="ctr">
              <a:solidFill>
                <a:schemeClr val="tx1">
                  <a:lumMod val="35000"/>
                  <a:lumOff val="65000"/>
                </a:schemeClr>
              </a:solidFill>
              <a:round/>
            </a:ln>
            <a:effectLst/>
          </c:spPr>
        </c:serLines>
        <c:axId val="1336576480"/>
        <c:axId val="1336576960"/>
      </c:barChart>
      <c:dateAx>
        <c:axId val="133657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b" anchorCtr="0"/>
          <a:lstStyle/>
          <a:p>
            <a:pPr>
              <a:defRPr sz="1000" b="0" i="0" u="none" strike="noStrike" kern="1200" baseline="0">
                <a:ln>
                  <a:noFill/>
                </a:ln>
                <a:solidFill>
                  <a:schemeClr val="tx2"/>
                </a:solidFill>
                <a:latin typeface="+mn-lt"/>
                <a:ea typeface="+mn-ea"/>
                <a:cs typeface="+mn-cs"/>
              </a:defRPr>
            </a:pPr>
            <a:endParaRPr lang="es-CO"/>
          </a:p>
        </c:txPr>
        <c:crossAx val="1336576960"/>
        <c:crosses val="autoZero"/>
        <c:auto val="0"/>
        <c:lblOffset val="100"/>
        <c:baseTimeUnit val="days"/>
      </c:dateAx>
      <c:valAx>
        <c:axId val="1336576960"/>
        <c:scaling>
          <c:orientation val="minMax"/>
        </c:scaling>
        <c:delete val="1"/>
        <c:axPos val="l"/>
        <c:numFmt formatCode="0.00\ %" sourceLinked="1"/>
        <c:majorTickMark val="out"/>
        <c:minorTickMark val="none"/>
        <c:tickLblPos val="nextTo"/>
        <c:crossAx val="133657648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5400000" vert="horz" anchor="t" anchorCtr="0"/>
    <a:lstStyle/>
    <a:p>
      <a:pPr>
        <a:defRPr>
          <a:ln>
            <a:noFill/>
          </a:ln>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300" b="0" u="none" strike="noStrike">
                <a:uFillTx/>
                <a:latin typeface="Arial"/>
              </a:defRPr>
            </a:pPr>
            <a:r>
              <a:rPr lang="es-CO" sz="1800" b="1" u="none" strike="noStrike">
                <a:solidFill>
                  <a:srgbClr val="FFFFFF"/>
                </a:solidFill>
                <a:uFillTx/>
                <a:latin typeface="Calibri"/>
                <a:ea typeface="Calibri"/>
              </a:rPr>
              <a:t>% de Cumplimiento cuarto Trimestre</a:t>
            </a:r>
          </a:p>
        </c:rich>
      </c:tx>
      <c:layout>
        <c:manualLayout>
          <c:xMode val="edge"/>
          <c:yMode val="edge"/>
          <c:x val="0.26643445839874402"/>
          <c:y val="2.3455208435990901E-2"/>
        </c:manualLayout>
      </c:layout>
      <c:overlay val="0"/>
      <c:spPr>
        <a:noFill/>
        <a:ln w="0">
          <a:noFill/>
        </a:ln>
      </c:spPr>
    </c:title>
    <c:autoTitleDeleted val="0"/>
    <c:view3D>
      <c:rotX val="15"/>
      <c:rotY val="20"/>
      <c:rAngAx val="1"/>
    </c:view3D>
    <c:floor>
      <c:thickness val="0"/>
      <c:spPr>
        <a:solidFill>
          <a:srgbClr val="BFBFBF">
            <a:alpha val="27000"/>
          </a:srgbClr>
        </a:solidFill>
        <a:ln w="6480">
          <a:noFill/>
        </a:ln>
      </c:spPr>
    </c:floor>
    <c:sideWall>
      <c:thickness val="0"/>
      <c:spPr>
        <a:solidFill>
          <a:srgbClr val="D9D9D9"/>
        </a:solidFill>
        <a:ln w="6480">
          <a:noFill/>
        </a:ln>
      </c:spPr>
    </c:sideWall>
    <c:backWall>
      <c:thickness val="0"/>
      <c:spPr>
        <a:solidFill>
          <a:srgbClr val="D9D9D9"/>
        </a:solidFill>
        <a:ln w="6480">
          <a:noFill/>
        </a:ln>
      </c:spPr>
    </c:backWall>
    <c:plotArea>
      <c:layout>
        <c:manualLayout>
          <c:layoutTarget val="inner"/>
          <c:xMode val="edge"/>
          <c:yMode val="edge"/>
          <c:x val="0.14217032967033"/>
          <c:y val="1.9710259189908299E-4"/>
          <c:w val="0.85101059654631095"/>
          <c:h val="0.62836306297427802"/>
        </c:manualLayout>
      </c:layout>
      <c:bar3DChart>
        <c:barDir val="col"/>
        <c:grouping val="standard"/>
        <c:varyColors val="0"/>
        <c:ser>
          <c:idx val="0"/>
          <c:order val="0"/>
          <c:spPr>
            <a:solidFill>
              <a:srgbClr val="4472C4">
                <a:alpha val="88000"/>
              </a:srgbClr>
            </a:solidFill>
            <a:ln w="0">
              <a:solidFill>
                <a:srgbClr val="203864"/>
              </a:solidFill>
            </a:ln>
          </c:spPr>
          <c:invertIfNegative val="0"/>
          <c:dPt>
            <c:idx val="0"/>
            <c:invertIfNegative val="0"/>
            <c:bubble3D val="0"/>
            <c:spPr>
              <a:solidFill>
                <a:srgbClr val="ED7D31">
                  <a:alpha val="88000"/>
                </a:srgbClr>
              </a:solidFill>
              <a:ln w="0">
                <a:solidFill>
                  <a:srgbClr val="203864"/>
                </a:solidFill>
              </a:ln>
            </c:spPr>
            <c:extLst>
              <c:ext xmlns:c16="http://schemas.microsoft.com/office/drawing/2014/chart" uri="{C3380CC4-5D6E-409C-BE32-E72D297353CC}">
                <c16:uniqueId val="{00000001-BDE9-47AE-9BBF-02DA6D8672E9}"/>
              </c:ext>
            </c:extLst>
          </c:dPt>
          <c:dPt>
            <c:idx val="1"/>
            <c:invertIfNegative val="0"/>
            <c:bubble3D val="0"/>
            <c:spPr>
              <a:solidFill>
                <a:srgbClr val="FBE5D6">
                  <a:alpha val="88000"/>
                </a:srgbClr>
              </a:solidFill>
              <a:ln w="0">
                <a:solidFill>
                  <a:srgbClr val="203864"/>
                </a:solidFill>
              </a:ln>
            </c:spPr>
            <c:extLst>
              <c:ext xmlns:c16="http://schemas.microsoft.com/office/drawing/2014/chart" uri="{C3380CC4-5D6E-409C-BE32-E72D297353CC}">
                <c16:uniqueId val="{00000003-BDE9-47AE-9BBF-02DA6D8672E9}"/>
              </c:ext>
            </c:extLst>
          </c:dPt>
          <c:dPt>
            <c:idx val="2"/>
            <c:invertIfNegative val="0"/>
            <c:bubble3D val="0"/>
            <c:spPr>
              <a:solidFill>
                <a:srgbClr val="385623">
                  <a:alpha val="88000"/>
                </a:srgbClr>
              </a:solidFill>
              <a:ln w="0">
                <a:solidFill>
                  <a:srgbClr val="203864"/>
                </a:solidFill>
              </a:ln>
            </c:spPr>
            <c:extLst>
              <c:ext xmlns:c16="http://schemas.microsoft.com/office/drawing/2014/chart" uri="{C3380CC4-5D6E-409C-BE32-E72D297353CC}">
                <c16:uniqueId val="{00000005-BDE9-47AE-9BBF-02DA6D8672E9}"/>
              </c:ext>
            </c:extLst>
          </c:dPt>
          <c:dPt>
            <c:idx val="3"/>
            <c:invertIfNegative val="0"/>
            <c:bubble3D val="0"/>
            <c:spPr>
              <a:solidFill>
                <a:srgbClr val="FFF2CC">
                  <a:alpha val="88000"/>
                </a:srgbClr>
              </a:solidFill>
              <a:ln w="0">
                <a:solidFill>
                  <a:srgbClr val="203864"/>
                </a:solidFill>
              </a:ln>
            </c:spPr>
            <c:extLst>
              <c:ext xmlns:c16="http://schemas.microsoft.com/office/drawing/2014/chart" uri="{C3380CC4-5D6E-409C-BE32-E72D297353CC}">
                <c16:uniqueId val="{00000007-BDE9-47AE-9BBF-02DA6D8672E9}"/>
              </c:ext>
            </c:extLst>
          </c:dPt>
          <c:dPt>
            <c:idx val="4"/>
            <c:invertIfNegative val="0"/>
            <c:bubble3D val="0"/>
            <c:extLst>
              <c:ext xmlns:c16="http://schemas.microsoft.com/office/drawing/2014/chart" uri="{C3380CC4-5D6E-409C-BE32-E72D297353CC}">
                <c16:uniqueId val="{00000009-BDE9-47AE-9BBF-02DA6D8672E9}"/>
              </c:ext>
            </c:extLst>
          </c:dPt>
          <c:dPt>
            <c:idx val="5"/>
            <c:invertIfNegative val="0"/>
            <c:bubble3D val="0"/>
            <c:spPr>
              <a:solidFill>
                <a:srgbClr val="BDD7EE">
                  <a:alpha val="88000"/>
                </a:srgbClr>
              </a:solidFill>
              <a:ln w="0">
                <a:solidFill>
                  <a:srgbClr val="203864"/>
                </a:solidFill>
              </a:ln>
            </c:spPr>
            <c:extLst>
              <c:ext xmlns:c16="http://schemas.microsoft.com/office/drawing/2014/chart" uri="{C3380CC4-5D6E-409C-BE32-E72D297353CC}">
                <c16:uniqueId val="{0000000B-BDE9-47AE-9BBF-02DA6D8672E9}"/>
              </c:ext>
            </c:extLst>
          </c:dPt>
          <c:dPt>
            <c:idx val="6"/>
            <c:invertIfNegative val="0"/>
            <c:bubble3D val="0"/>
            <c:spPr>
              <a:solidFill>
                <a:srgbClr val="C00000">
                  <a:alpha val="88000"/>
                </a:srgbClr>
              </a:solidFill>
              <a:ln w="0">
                <a:solidFill>
                  <a:srgbClr val="203864"/>
                </a:solidFill>
              </a:ln>
            </c:spPr>
            <c:extLst>
              <c:ext xmlns:c16="http://schemas.microsoft.com/office/drawing/2014/chart" uri="{C3380CC4-5D6E-409C-BE32-E72D297353CC}">
                <c16:uniqueId val="{0000000D-BDE9-47AE-9BBF-02DA6D8672E9}"/>
              </c:ext>
            </c:extLst>
          </c:dPt>
          <c:dPt>
            <c:idx val="7"/>
            <c:invertIfNegative val="0"/>
            <c:bubble3D val="0"/>
            <c:spPr>
              <a:solidFill>
                <a:srgbClr val="A6A6A6">
                  <a:alpha val="88000"/>
                </a:srgbClr>
              </a:solidFill>
              <a:ln w="0">
                <a:solidFill>
                  <a:srgbClr val="203864"/>
                </a:solidFill>
              </a:ln>
            </c:spPr>
            <c:extLst>
              <c:ext xmlns:c16="http://schemas.microsoft.com/office/drawing/2014/chart" uri="{C3380CC4-5D6E-409C-BE32-E72D297353CC}">
                <c16:uniqueId val="{0000000F-BDE9-47AE-9BBF-02DA6D8672E9}"/>
              </c:ext>
            </c:extLst>
          </c:dPt>
          <c:dPt>
            <c:idx val="8"/>
            <c:invertIfNegative val="0"/>
            <c:bubble3D val="0"/>
            <c:spPr>
              <a:solidFill>
                <a:srgbClr val="002060">
                  <a:alpha val="88000"/>
                </a:srgbClr>
              </a:solidFill>
              <a:ln w="0">
                <a:solidFill>
                  <a:srgbClr val="203864"/>
                </a:solidFill>
              </a:ln>
            </c:spPr>
            <c:extLst>
              <c:ext xmlns:c16="http://schemas.microsoft.com/office/drawing/2014/chart" uri="{C3380CC4-5D6E-409C-BE32-E72D297353CC}">
                <c16:uniqueId val="{00000011-BDE9-47AE-9BBF-02DA6D8672E9}"/>
              </c:ext>
            </c:extLst>
          </c:dPt>
          <c:dPt>
            <c:idx val="9"/>
            <c:invertIfNegative val="0"/>
            <c:bubble3D val="0"/>
            <c:spPr>
              <a:solidFill>
                <a:srgbClr val="F4B183">
                  <a:alpha val="88000"/>
                </a:srgbClr>
              </a:solidFill>
              <a:ln w="0">
                <a:solidFill>
                  <a:srgbClr val="203864"/>
                </a:solidFill>
              </a:ln>
            </c:spPr>
            <c:extLst>
              <c:ext xmlns:c16="http://schemas.microsoft.com/office/drawing/2014/chart" uri="{C3380CC4-5D6E-409C-BE32-E72D297353CC}">
                <c16:uniqueId val="{00000013-BDE9-47AE-9BBF-02DA6D8672E9}"/>
              </c:ext>
            </c:extLst>
          </c:dPt>
          <c:dPt>
            <c:idx val="10"/>
            <c:invertIfNegative val="0"/>
            <c:bubble3D val="0"/>
            <c:spPr>
              <a:solidFill>
                <a:srgbClr val="92D050">
                  <a:alpha val="88000"/>
                </a:srgbClr>
              </a:solidFill>
              <a:ln w="0">
                <a:solidFill>
                  <a:srgbClr val="203864"/>
                </a:solidFill>
              </a:ln>
            </c:spPr>
            <c:extLst>
              <c:ext xmlns:c16="http://schemas.microsoft.com/office/drawing/2014/chart" uri="{C3380CC4-5D6E-409C-BE32-E72D297353CC}">
                <c16:uniqueId val="{00000015-BDE9-47AE-9BBF-02DA6D8672E9}"/>
              </c:ext>
            </c:extLst>
          </c:dPt>
          <c:dLbls>
            <c:dLbl>
              <c:idx val="0"/>
              <c:layout>
                <c:manualLayout>
                  <c:x val="1.9379847918550901E-2"/>
                  <c:y val="-2.26308311514282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1-BDE9-47AE-9BBF-02DA6D8672E9}"/>
                </c:ext>
              </c:extLst>
            </c:dLbl>
            <c:dLbl>
              <c:idx val="1"/>
              <c:layout>
                <c:manualLayout>
                  <c:x val="1.6090892747995501E-2"/>
                  <c:y val="-9.3138540499195406E-3"/>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BDE9-47AE-9BBF-02DA6D8672E9}"/>
                </c:ext>
              </c:extLst>
            </c:dLbl>
            <c:dLbl>
              <c:idx val="2"/>
              <c:layout>
                <c:manualLayout>
                  <c:x val="1.26653435541095E-2"/>
                  <c:y val="-2.8994168369908601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BDE9-47AE-9BBF-02DA6D8672E9}"/>
                </c:ext>
              </c:extLst>
            </c:dLbl>
            <c:dLbl>
              <c:idx val="3"/>
              <c:layout>
                <c:manualLayout>
                  <c:x val="7.30164954036979E-3"/>
                  <c:y val="-2.9584394380478999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7-BDE9-47AE-9BBF-02DA6D8672E9}"/>
                </c:ext>
              </c:extLst>
            </c:dLbl>
            <c:dLbl>
              <c:idx val="4"/>
              <c:layout>
                <c:manualLayout>
                  <c:x val="5.7025132132456002E-3"/>
                  <c:y val="-1.5972512331507701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9-BDE9-47AE-9BBF-02DA6D8672E9}"/>
                </c:ext>
              </c:extLst>
            </c:dLbl>
            <c:dLbl>
              <c:idx val="5"/>
              <c:layout>
                <c:manualLayout>
                  <c:x val="1.1627943767303001E-2"/>
                  <c:y val="-1.97441003406119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B-BDE9-47AE-9BBF-02DA6D8672E9}"/>
                </c:ext>
              </c:extLst>
            </c:dLbl>
            <c:dLbl>
              <c:idx val="6"/>
              <c:layout>
                <c:manualLayout>
                  <c:x val="7.3059360730592902E-3"/>
                  <c:y val="-3.1290738872076999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D-BDE9-47AE-9BBF-02DA6D8672E9}"/>
                </c:ext>
              </c:extLst>
            </c:dLbl>
            <c:dLbl>
              <c:idx val="7"/>
              <c:layout>
                <c:manualLayout>
                  <c:x val="9.5773782248711192E-3"/>
                  <c:y val="-2.8699055364623399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F-BDE9-47AE-9BBF-02DA6D8672E9}"/>
                </c:ext>
              </c:extLst>
            </c:dLbl>
            <c:dLbl>
              <c:idx val="8"/>
              <c:layout>
                <c:manualLayout>
                  <c:x val="1.31155934275338E-2"/>
                  <c:y val="-2.6402758622200099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1-BDE9-47AE-9BBF-02DA6D8672E9}"/>
                </c:ext>
              </c:extLst>
            </c:dLbl>
            <c:dLbl>
              <c:idx val="9"/>
              <c:layout>
                <c:manualLayout>
                  <c:x val="2.0644590659044199E-2"/>
                  <c:y val="-2.6402758622200002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3-BDE9-47AE-9BBF-02DA6D8672E9}"/>
                </c:ext>
              </c:extLst>
            </c:dLbl>
            <c:dLbl>
              <c:idx val="10"/>
              <c:layout>
                <c:manualLayout>
                  <c:x val="2.0754938818501E-2"/>
                  <c:y val="-3.3061143144043098E-2"/>
                </c:manualLayout>
              </c:layout>
              <c:spPr>
                <a:solidFill>
                  <a:srgbClr val="4472C4"/>
                </a:solidFill>
              </c:spPr>
              <c:txPr>
                <a:bodyPr wrap="square"/>
                <a:lstStyle/>
                <a:p>
                  <a:pPr>
                    <a:defRPr sz="900" b="1" u="none" strike="noStrike">
                      <a:solidFill>
                        <a:srgbClr val="000000"/>
                      </a:solidFill>
                      <a:uFillTx/>
                      <a:latin typeface="Calibri"/>
                    </a:defRPr>
                  </a:pPr>
                  <a:endParaRPr lang="es-CO"/>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5-BDE9-47AE-9BBF-02DA6D8672E9}"/>
                </c:ext>
              </c:extLst>
            </c:dLbl>
            <c:spPr>
              <a:solidFill>
                <a:srgbClr val="4472C4"/>
              </a:solidFill>
            </c:spPr>
            <c:txPr>
              <a:bodyPr wrap="square"/>
              <a:lstStyle/>
              <a:p>
                <a:pPr>
                  <a:defRPr sz="900" b="1" u="none" strike="noStrike">
                    <a:solidFill>
                      <a:srgbClr val="000000"/>
                    </a:solidFill>
                    <a:uFillTx/>
                    <a:latin typeface="Calibri"/>
                    <a:ea typeface="Calibri"/>
                  </a:defRPr>
                </a:pPr>
                <a:endParaRPr lang="es-CO"/>
              </a:p>
            </c:txP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15:leaderLines>
                  <c:spPr>
                    <a:ln>
                      <a:solidFill>
                        <a:srgbClr val="203864"/>
                      </a:solidFill>
                    </a:ln>
                  </c:spPr>
                </c15:leaderLines>
              </c:ext>
            </c:extLst>
          </c:dLbls>
          <c:cat>
            <c:strRef>
              <c:f>GRAFICO!$B$6:$B$16</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GRAFICO!$C$6:$C$16</c:f>
              <c:numCache>
                <c:formatCode>0.00\ %</c:formatCode>
                <c:ptCount val="11"/>
                <c:pt idx="0">
                  <c:v>0.98916666666666664</c:v>
                </c:pt>
                <c:pt idx="1">
                  <c:v>0.93017264496113417</c:v>
                </c:pt>
                <c:pt idx="2">
                  <c:v>0.89311363877070571</c:v>
                </c:pt>
                <c:pt idx="3">
                  <c:v>0.68563549529780232</c:v>
                </c:pt>
                <c:pt idx="4">
                  <c:v>0.78439153439153442</c:v>
                </c:pt>
                <c:pt idx="5">
                  <c:v>0.91665176928334824</c:v>
                </c:pt>
                <c:pt idx="6">
                  <c:v>0.81506734006734005</c:v>
                </c:pt>
                <c:pt idx="7">
                  <c:v>0.77638249596920994</c:v>
                </c:pt>
                <c:pt idx="8">
                  <c:v>0.90691194203338998</c:v>
                </c:pt>
                <c:pt idx="9">
                  <c:v>0.95130000000000003</c:v>
                </c:pt>
                <c:pt idx="10">
                  <c:v>0.79659008920372543</c:v>
                </c:pt>
              </c:numCache>
            </c:numRef>
          </c:val>
          <c:extLst>
            <c:ext xmlns:c16="http://schemas.microsoft.com/office/drawing/2014/chart" uri="{C3380CC4-5D6E-409C-BE32-E72D297353CC}">
              <c16:uniqueId val="{00000016-BDE9-47AE-9BBF-02DA6D8672E9}"/>
            </c:ext>
          </c:extLst>
        </c:ser>
        <c:dLbls>
          <c:showLegendKey val="0"/>
          <c:showVal val="0"/>
          <c:showCatName val="0"/>
          <c:showSerName val="0"/>
          <c:showPercent val="0"/>
          <c:showBubbleSize val="0"/>
        </c:dLbls>
        <c:gapWidth val="84"/>
        <c:shape val="box"/>
        <c:axId val="74403458"/>
        <c:axId val="61799558"/>
        <c:axId val="0"/>
      </c:bar3DChart>
      <c:catAx>
        <c:axId val="74403458"/>
        <c:scaling>
          <c:orientation val="minMax"/>
        </c:scaling>
        <c:delete val="0"/>
        <c:axPos val="b"/>
        <c:numFmt formatCode="General" sourceLinked="0"/>
        <c:majorTickMark val="none"/>
        <c:minorTickMark val="none"/>
        <c:tickLblPos val="nextTo"/>
        <c:spPr>
          <a:ln w="6480">
            <a:noFill/>
          </a:ln>
        </c:spPr>
        <c:txPr>
          <a:bodyPr/>
          <a:lstStyle/>
          <a:p>
            <a:pPr>
              <a:defRPr sz="900" b="1" u="none" strike="noStrike">
                <a:solidFill>
                  <a:srgbClr val="BFBFBF"/>
                </a:solidFill>
                <a:uFillTx/>
                <a:latin typeface="Calibri"/>
                <a:ea typeface="Calibri"/>
              </a:defRPr>
            </a:pPr>
            <a:endParaRPr lang="es-CO"/>
          </a:p>
        </c:txPr>
        <c:crossAx val="61799558"/>
        <c:crosses val="autoZero"/>
        <c:auto val="1"/>
        <c:lblAlgn val="ctr"/>
        <c:lblOffset val="100"/>
        <c:noMultiLvlLbl val="0"/>
      </c:catAx>
      <c:valAx>
        <c:axId val="61799558"/>
        <c:scaling>
          <c:orientation val="minMax"/>
        </c:scaling>
        <c:delete val="1"/>
        <c:axPos val="l"/>
        <c:numFmt formatCode="0.00\ %" sourceLinked="1"/>
        <c:majorTickMark val="out"/>
        <c:minorTickMark val="none"/>
        <c:tickLblPos val="nextTo"/>
        <c:crossAx val="74403458"/>
        <c:crosses val="autoZero"/>
        <c:crossBetween val="between"/>
      </c:valAx>
    </c:plotArea>
    <c:plotVisOnly val="1"/>
    <c:dispBlanksAs val="gap"/>
    <c:showDLblsOverMax val="1"/>
  </c:chart>
  <c:spPr>
    <a:solidFill>
      <a:srgbClr val="000000"/>
    </a:solidFill>
    <a:ln w="6480">
      <a:solidFill>
        <a:srgbClr val="8B8B8B"/>
      </a:solidFill>
      <a:round/>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120960</xdr:colOff>
      <xdr:row>1</xdr:row>
      <xdr:rowOff>208800</xdr:rowOff>
    </xdr:from>
    <xdr:to>
      <xdr:col>2</xdr:col>
      <xdr:colOff>932400</xdr:colOff>
      <xdr:row>3</xdr:row>
      <xdr:rowOff>264600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7729" t="5295" r="70844" b="86232"/>
        <a:stretch/>
      </xdr:blipFill>
      <xdr:spPr>
        <a:xfrm>
          <a:off x="825840" y="399240"/>
          <a:ext cx="2955960" cy="1313280"/>
        </a:xfrm>
        <a:prstGeom prst="rect">
          <a:avLst/>
        </a:prstGeom>
        <a:ln w="0">
          <a:noFill/>
        </a:ln>
      </xdr:spPr>
    </xdr:pic>
    <xdr:clientData/>
  </xdr:twoCellAnchor>
  <xdr:twoCellAnchor editAs="oneCell">
    <xdr:from>
      <xdr:col>2</xdr:col>
      <xdr:colOff>1088640</xdr:colOff>
      <xdr:row>1</xdr:row>
      <xdr:rowOff>200880</xdr:rowOff>
    </xdr:from>
    <xdr:to>
      <xdr:col>4</xdr:col>
      <xdr:colOff>1449360</xdr:colOff>
      <xdr:row>3</xdr:row>
      <xdr:rowOff>322920</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938040" y="391320"/>
          <a:ext cx="4136400" cy="1379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1193425</xdr:colOff>
      <xdr:row>21</xdr:row>
      <xdr:rowOff>113179</xdr:rowOff>
    </xdr:from>
    <xdr:to>
      <xdr:col>13</xdr:col>
      <xdr:colOff>963705</xdr:colOff>
      <xdr:row>48</xdr:row>
      <xdr:rowOff>33617</xdr:rowOff>
    </xdr:to>
    <xdr:graphicFrame macro="">
      <xdr:nvGraphicFramePr>
        <xdr:cNvPr id="2" name="Gráfico 1">
          <a:extLst>
            <a:ext uri="{FF2B5EF4-FFF2-40B4-BE49-F238E27FC236}">
              <a16:creationId xmlns:a16="http://schemas.microsoft.com/office/drawing/2014/main" id="{6A1B83FC-F2D3-F09A-101C-EAF67EC2E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1305485</xdr:colOff>
      <xdr:row>49</xdr:row>
      <xdr:rowOff>79560</xdr:rowOff>
    </xdr:from>
    <xdr:to>
      <xdr:col>13</xdr:col>
      <xdr:colOff>974912</xdr:colOff>
      <xdr:row>86</xdr:row>
      <xdr:rowOff>134470</xdr:rowOff>
    </xdr:to>
    <xdr:graphicFrame macro="">
      <xdr:nvGraphicFramePr>
        <xdr:cNvPr id="3" name="Gráfico 2">
          <a:extLst>
            <a:ext uri="{FF2B5EF4-FFF2-40B4-BE49-F238E27FC236}">
              <a16:creationId xmlns:a16="http://schemas.microsoft.com/office/drawing/2014/main" id="{5363A389-5F1A-D214-7D80-23117B91FC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166680</xdr:rowOff>
    </xdr:from>
    <xdr:to>
      <xdr:col>7</xdr:col>
      <xdr:colOff>180720</xdr:colOff>
      <xdr:row>37</xdr:row>
      <xdr:rowOff>9360</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71"/>
  <sheetViews>
    <sheetView showGridLines="0" tabSelected="1" topLeftCell="AM1" zoomScale="70" zoomScaleNormal="70" workbookViewId="0">
      <selection activeCell="AO69" sqref="AO69"/>
    </sheetView>
  </sheetViews>
  <sheetFormatPr baseColWidth="10" defaultColWidth="0" defaultRowHeight="15" zeroHeight="1" x14ac:dyDescent="0.25"/>
  <cols>
    <col min="1" max="1" width="10" style="1" customWidth="1"/>
    <col min="2" max="2" width="30.42578125" style="2" customWidth="1"/>
    <col min="3" max="3" width="30.85546875" style="2" customWidth="1"/>
    <col min="4" max="4" width="22.7109375" style="2" customWidth="1"/>
    <col min="5" max="5" width="23.85546875" style="2" customWidth="1"/>
    <col min="6" max="6" width="24.7109375" style="2" customWidth="1"/>
    <col min="7" max="7" width="36.28515625" style="2" customWidth="1"/>
    <col min="8" max="8" width="26.85546875" style="3" customWidth="1"/>
    <col min="9" max="9" width="27.28515625" style="2" customWidth="1"/>
    <col min="10" max="10" width="31.42578125" style="2" customWidth="1"/>
    <col min="11" max="11" width="15.42578125" style="2" customWidth="1"/>
    <col min="12" max="12" width="15.140625" style="2" customWidth="1"/>
    <col min="13" max="13" width="15.85546875" style="2" customWidth="1"/>
    <col min="14" max="14" width="21.42578125" style="2" customWidth="1"/>
    <col min="15" max="15" width="15.7109375" style="2" customWidth="1"/>
    <col min="16" max="16" width="18" style="2" customWidth="1"/>
    <col min="17" max="17" width="11.42578125" style="2" customWidth="1"/>
    <col min="18" max="18" width="20.42578125" style="2" customWidth="1"/>
    <col min="19" max="19" width="22.7109375" style="2" customWidth="1"/>
    <col min="20" max="20" width="14.7109375" style="2" customWidth="1"/>
    <col min="21" max="21" width="15" style="2" customWidth="1"/>
    <col min="22" max="22" width="10.7109375" style="2" customWidth="1"/>
    <col min="23" max="23" width="14" style="2" customWidth="1"/>
    <col min="24" max="24" width="14.5703125" style="2" customWidth="1"/>
    <col min="25" max="25" width="10.7109375" style="2" customWidth="1"/>
    <col min="26" max="26" width="16.28515625" style="2" customWidth="1"/>
    <col min="27" max="27" width="15.42578125" style="2" customWidth="1"/>
    <col min="28" max="28" width="10.7109375" style="2" customWidth="1"/>
    <col min="29" max="29" width="14.140625" style="2" customWidth="1"/>
    <col min="30" max="30" width="15" style="2" customWidth="1"/>
    <col min="31" max="31" width="10.7109375" style="2" customWidth="1"/>
    <col min="32" max="32" width="22.85546875" style="4" customWidth="1"/>
    <col min="33" max="33" width="21.42578125" style="4" customWidth="1"/>
    <col min="34" max="34" width="18.28515625" style="2" customWidth="1"/>
    <col min="35" max="35" width="18.85546875" style="2" customWidth="1"/>
    <col min="36" max="36" width="92.42578125" style="2" customWidth="1"/>
    <col min="37" max="37" width="53" style="2" customWidth="1"/>
    <col min="38" max="38" width="87.7109375" style="5" customWidth="1"/>
    <col min="39" max="39" width="59.28515625" style="5" customWidth="1"/>
    <col min="40" max="40" width="50" style="5" customWidth="1"/>
    <col min="41" max="41" width="53.42578125" style="5" customWidth="1"/>
    <col min="42" max="42" width="53.28515625" style="5" customWidth="1"/>
    <col min="43" max="43" width="61.85546875" style="6" customWidth="1"/>
    <col min="44" max="44" width="6.85546875" style="2" customWidth="1"/>
    <col min="45" max="45" width="11.5703125" style="2" hidden="1" customWidth="1"/>
    <col min="46" max="16384" width="14.42578125" style="2" hidden="1"/>
  </cols>
  <sheetData>
    <row r="1" spans="1:44" s="8" customFormat="1" ht="15" customHeight="1" x14ac:dyDescent="0.25">
      <c r="A1" s="7"/>
      <c r="H1" s="9"/>
      <c r="AF1" s="10"/>
      <c r="AG1" s="10"/>
      <c r="AL1" s="11"/>
      <c r="AM1" s="11"/>
      <c r="AN1" s="11"/>
      <c r="AO1" s="11"/>
      <c r="AP1" s="11"/>
      <c r="AQ1" s="12"/>
    </row>
    <row r="2" spans="1:44" s="8" customFormat="1" ht="49.5" customHeight="1" x14ac:dyDescent="0.2">
      <c r="A2" s="174"/>
      <c r="B2" s="175"/>
      <c r="C2" s="175"/>
      <c r="D2" s="175"/>
      <c r="E2" s="175"/>
      <c r="F2" s="176" t="s">
        <v>0</v>
      </c>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3" t="s">
        <v>1</v>
      </c>
    </row>
    <row r="3" spans="1:44" s="8" customFormat="1" ht="49.5" customHeight="1" x14ac:dyDescent="0.2">
      <c r="A3" s="174"/>
      <c r="B3" s="175"/>
      <c r="C3" s="175"/>
      <c r="D3" s="175"/>
      <c r="E3" s="175"/>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3" t="s">
        <v>2</v>
      </c>
    </row>
    <row r="4" spans="1:44" s="8" customFormat="1" ht="49.5" customHeight="1" x14ac:dyDescent="0.2">
      <c r="A4" s="174"/>
      <c r="B4" s="175"/>
      <c r="C4" s="175"/>
      <c r="D4" s="175"/>
      <c r="E4" s="175"/>
      <c r="F4" s="177" t="s">
        <v>3</v>
      </c>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3" t="s">
        <v>4</v>
      </c>
    </row>
    <row r="5" spans="1:44" s="8" customFormat="1" ht="12" customHeight="1" x14ac:dyDescent="0.2">
      <c r="A5" s="174"/>
      <c r="B5" s="14"/>
      <c r="C5" s="14"/>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6"/>
    </row>
    <row r="6" spans="1:44" s="8" customFormat="1" ht="30.75" customHeight="1" x14ac:dyDescent="0.2">
      <c r="A6" s="174"/>
      <c r="B6" s="17" t="s">
        <v>5</v>
      </c>
      <c r="C6" s="18">
        <v>2024</v>
      </c>
      <c r="D6" s="178" t="s">
        <v>6</v>
      </c>
      <c r="E6" s="178"/>
      <c r="F6" s="178"/>
      <c r="G6" s="178"/>
      <c r="H6" s="178"/>
      <c r="I6" s="178"/>
      <c r="J6" s="178"/>
      <c r="K6" s="178"/>
      <c r="L6" s="178"/>
      <c r="M6" s="178"/>
      <c r="N6" s="178"/>
      <c r="O6" s="178"/>
      <c r="P6" s="178"/>
      <c r="Q6" s="19"/>
      <c r="R6" s="178" t="s">
        <v>7</v>
      </c>
      <c r="S6" s="178"/>
      <c r="T6" s="178"/>
      <c r="U6" s="178"/>
      <c r="V6" s="178"/>
      <c r="W6" s="178"/>
      <c r="X6" s="178"/>
      <c r="Y6" s="178"/>
      <c r="Z6" s="178"/>
      <c r="AA6" s="178"/>
      <c r="AB6" s="178"/>
      <c r="AC6" s="178"/>
      <c r="AD6" s="178"/>
      <c r="AE6" s="178"/>
      <c r="AF6" s="178"/>
      <c r="AG6" s="178"/>
      <c r="AH6" s="178"/>
      <c r="AI6" s="178"/>
      <c r="AJ6" s="179" t="s">
        <v>8</v>
      </c>
      <c r="AK6" s="179"/>
      <c r="AL6" s="179"/>
      <c r="AM6" s="179"/>
      <c r="AN6" s="179"/>
      <c r="AO6" s="179"/>
      <c r="AP6" s="179"/>
      <c r="AQ6" s="179"/>
    </row>
    <row r="7" spans="1:44" s="8" customFormat="1" ht="30.75" customHeight="1" x14ac:dyDescent="0.2">
      <c r="A7" s="174"/>
      <c r="B7" s="20" t="s">
        <v>9</v>
      </c>
      <c r="C7" s="21" t="s">
        <v>10</v>
      </c>
      <c r="D7" s="180" t="s">
        <v>11</v>
      </c>
      <c r="E7" s="180"/>
      <c r="F7" s="180"/>
      <c r="G7" s="180"/>
      <c r="H7" s="180"/>
      <c r="I7" s="180"/>
      <c r="J7" s="180"/>
      <c r="K7" s="180"/>
      <c r="L7" s="180"/>
      <c r="M7" s="180"/>
      <c r="N7" s="180"/>
      <c r="O7" s="180"/>
      <c r="P7" s="180"/>
      <c r="Q7" s="19"/>
      <c r="R7" s="181" t="s">
        <v>12</v>
      </c>
      <c r="S7" s="181"/>
      <c r="T7" s="181"/>
      <c r="U7" s="181"/>
      <c r="V7" s="181"/>
      <c r="W7" s="181"/>
      <c r="X7" s="181"/>
      <c r="Y7" s="181"/>
      <c r="Z7" s="181"/>
      <c r="AA7" s="181"/>
      <c r="AB7" s="181"/>
      <c r="AC7" s="181"/>
      <c r="AD7" s="181"/>
      <c r="AE7" s="181"/>
      <c r="AF7" s="181"/>
      <c r="AG7" s="181"/>
      <c r="AH7" s="181"/>
      <c r="AI7" s="181"/>
      <c r="AJ7" s="182" t="s">
        <v>13</v>
      </c>
      <c r="AK7" s="182"/>
      <c r="AL7" s="182"/>
      <c r="AM7" s="182"/>
      <c r="AN7" s="182"/>
      <c r="AO7" s="182"/>
      <c r="AP7" s="182"/>
      <c r="AQ7" s="182"/>
    </row>
    <row r="8" spans="1:44" s="8" customFormat="1" ht="15" customHeight="1" x14ac:dyDescent="0.25">
      <c r="A8" s="7"/>
      <c r="B8" s="22"/>
      <c r="C8" s="23"/>
      <c r="D8" s="23"/>
      <c r="E8" s="23"/>
      <c r="F8" s="23"/>
      <c r="G8" s="23"/>
      <c r="H8" s="24"/>
      <c r="I8" s="23"/>
      <c r="J8" s="23"/>
      <c r="K8" s="23"/>
      <c r="L8" s="23"/>
      <c r="M8" s="23"/>
      <c r="N8" s="23"/>
      <c r="O8" s="23"/>
      <c r="P8" s="23"/>
      <c r="Q8" s="23"/>
      <c r="R8" s="23"/>
      <c r="S8" s="23"/>
      <c r="T8" s="23"/>
      <c r="U8" s="23"/>
      <c r="V8" s="23"/>
      <c r="W8" s="23"/>
      <c r="X8" s="23"/>
      <c r="Y8" s="23"/>
      <c r="Z8" s="23"/>
      <c r="AA8" s="23"/>
      <c r="AB8" s="23"/>
      <c r="AC8" s="23"/>
      <c r="AD8" s="23"/>
      <c r="AE8" s="23"/>
      <c r="AF8" s="25"/>
      <c r="AG8" s="25"/>
      <c r="AH8" s="23"/>
      <c r="AI8" s="23"/>
      <c r="AJ8" s="15"/>
      <c r="AK8" s="15"/>
      <c r="AL8" s="15"/>
      <c r="AM8" s="15"/>
      <c r="AN8" s="15"/>
      <c r="AO8" s="15"/>
      <c r="AP8" s="15"/>
      <c r="AQ8" s="15"/>
    </row>
    <row r="9" spans="1:44" s="8" customFormat="1" ht="25.5" customHeight="1" x14ac:dyDescent="0.2">
      <c r="A9" s="173"/>
      <c r="B9" s="173"/>
      <c r="C9" s="173"/>
      <c r="D9" s="173"/>
      <c r="E9" s="173"/>
      <c r="F9" s="173"/>
      <c r="G9" s="173"/>
      <c r="H9" s="171" t="s">
        <v>14</v>
      </c>
      <c r="I9" s="171"/>
      <c r="J9" s="171"/>
      <c r="K9" s="171"/>
      <c r="L9" s="171"/>
      <c r="M9" s="171"/>
      <c r="N9" s="171"/>
      <c r="O9" s="172"/>
      <c r="P9" s="172"/>
      <c r="Q9" s="171" t="s">
        <v>15</v>
      </c>
      <c r="R9" s="171"/>
      <c r="S9" s="171"/>
      <c r="T9" s="171" t="s">
        <v>16</v>
      </c>
      <c r="U9" s="171"/>
      <c r="V9" s="171"/>
      <c r="W9" s="171" t="s">
        <v>17</v>
      </c>
      <c r="X9" s="171"/>
      <c r="Y9" s="171"/>
      <c r="Z9" s="171" t="s">
        <v>18</v>
      </c>
      <c r="AA9" s="171"/>
      <c r="AB9" s="171"/>
      <c r="AC9" s="171" t="s">
        <v>19</v>
      </c>
      <c r="AD9" s="171"/>
      <c r="AE9" s="171"/>
      <c r="AF9" s="172"/>
      <c r="AG9" s="172"/>
      <c r="AH9" s="172"/>
      <c r="AI9" s="172"/>
      <c r="AJ9" s="172"/>
      <c r="AK9" s="172"/>
      <c r="AL9" s="172"/>
      <c r="AM9" s="172"/>
      <c r="AN9" s="172"/>
      <c r="AO9" s="172"/>
      <c r="AP9" s="172"/>
      <c r="AQ9" s="172"/>
    </row>
    <row r="10" spans="1:44" s="8" customFormat="1" ht="80.25" customHeight="1" thickBot="1" x14ac:dyDescent="0.25">
      <c r="A10" s="26" t="s">
        <v>20</v>
      </c>
      <c r="B10" s="26" t="s">
        <v>21</v>
      </c>
      <c r="C10" s="27" t="s">
        <v>22</v>
      </c>
      <c r="D10" s="27" t="s">
        <v>23</v>
      </c>
      <c r="E10" s="27" t="s">
        <v>24</v>
      </c>
      <c r="F10" s="27" t="s">
        <v>25</v>
      </c>
      <c r="G10" s="28" t="s">
        <v>26</v>
      </c>
      <c r="H10" s="29" t="s">
        <v>27</v>
      </c>
      <c r="I10" s="29" t="s">
        <v>28</v>
      </c>
      <c r="J10" s="29" t="s">
        <v>29</v>
      </c>
      <c r="K10" s="29" t="s">
        <v>30</v>
      </c>
      <c r="L10" s="29" t="s">
        <v>31</v>
      </c>
      <c r="M10" s="29" t="s">
        <v>32</v>
      </c>
      <c r="N10" s="29" t="s">
        <v>33</v>
      </c>
      <c r="O10" s="26" t="s">
        <v>34</v>
      </c>
      <c r="P10" s="30" t="s">
        <v>35</v>
      </c>
      <c r="Q10" s="29" t="s">
        <v>36</v>
      </c>
      <c r="R10" s="29" t="s">
        <v>37</v>
      </c>
      <c r="S10" s="29" t="s">
        <v>38</v>
      </c>
      <c r="T10" s="31" t="s">
        <v>39</v>
      </c>
      <c r="U10" s="31" t="s">
        <v>40</v>
      </c>
      <c r="V10" s="31" t="s">
        <v>41</v>
      </c>
      <c r="W10" s="31" t="s">
        <v>39</v>
      </c>
      <c r="X10" s="31" t="s">
        <v>40</v>
      </c>
      <c r="Y10" s="31" t="s">
        <v>42</v>
      </c>
      <c r="Z10" s="31" t="s">
        <v>39</v>
      </c>
      <c r="AA10" s="31" t="s">
        <v>40</v>
      </c>
      <c r="AB10" s="32" t="s">
        <v>43</v>
      </c>
      <c r="AC10" s="31" t="s">
        <v>39</v>
      </c>
      <c r="AD10" s="31" t="s">
        <v>40</v>
      </c>
      <c r="AE10" s="31" t="s">
        <v>44</v>
      </c>
      <c r="AF10" s="33" t="s">
        <v>45</v>
      </c>
      <c r="AG10" s="34" t="s">
        <v>46</v>
      </c>
      <c r="AH10" s="27" t="s">
        <v>47</v>
      </c>
      <c r="AI10" s="30" t="s">
        <v>48</v>
      </c>
      <c r="AJ10" s="35" t="s">
        <v>49</v>
      </c>
      <c r="AK10" s="36" t="s">
        <v>50</v>
      </c>
      <c r="AL10" s="37" t="s">
        <v>51</v>
      </c>
      <c r="AM10" s="38" t="s">
        <v>52</v>
      </c>
      <c r="AN10" s="37" t="s">
        <v>53</v>
      </c>
      <c r="AO10" s="146" t="s">
        <v>54</v>
      </c>
      <c r="AP10" s="37" t="s">
        <v>55</v>
      </c>
      <c r="AQ10" s="146" t="s">
        <v>56</v>
      </c>
    </row>
    <row r="11" spans="1:44" s="55" customFormat="1" ht="213" customHeight="1" thickBot="1" x14ac:dyDescent="0.25">
      <c r="A11" s="39">
        <v>1</v>
      </c>
      <c r="B11" s="40" t="s">
        <v>57</v>
      </c>
      <c r="C11" s="40" t="s">
        <v>58</v>
      </c>
      <c r="D11" s="41" t="s">
        <v>59</v>
      </c>
      <c r="E11" s="40" t="s">
        <v>60</v>
      </c>
      <c r="F11" s="40" t="s">
        <v>61</v>
      </c>
      <c r="G11" s="40" t="s">
        <v>62</v>
      </c>
      <c r="H11" s="40" t="s">
        <v>63</v>
      </c>
      <c r="I11" s="40" t="s">
        <v>64</v>
      </c>
      <c r="J11" s="40" t="s">
        <v>65</v>
      </c>
      <c r="K11" s="40" t="s">
        <v>66</v>
      </c>
      <c r="L11" s="40" t="s">
        <v>67</v>
      </c>
      <c r="M11" s="42">
        <v>89</v>
      </c>
      <c r="N11" s="40" t="s">
        <v>68</v>
      </c>
      <c r="O11" s="43" t="s">
        <v>69</v>
      </c>
      <c r="P11" s="43">
        <v>1</v>
      </c>
      <c r="Q11" s="40" t="s">
        <v>70</v>
      </c>
      <c r="R11" s="44">
        <v>45292</v>
      </c>
      <c r="S11" s="44">
        <v>45657</v>
      </c>
      <c r="T11" s="45"/>
      <c r="U11" s="45"/>
      <c r="V11" s="46" t="s">
        <v>71</v>
      </c>
      <c r="W11" s="46"/>
      <c r="X11" s="47"/>
      <c r="Y11" s="46" t="s">
        <v>71</v>
      </c>
      <c r="Z11" s="47">
        <v>86.1</v>
      </c>
      <c r="AA11" s="47">
        <v>90</v>
      </c>
      <c r="AB11" s="46">
        <f>+(Z11/AA11)*$P$11</f>
        <v>0.95666666666666655</v>
      </c>
      <c r="AC11" s="46"/>
      <c r="AD11" s="48"/>
      <c r="AE11" s="46" t="s">
        <v>71</v>
      </c>
      <c r="AF11" s="49">
        <f>+(AB11)</f>
        <v>0.95666666666666655</v>
      </c>
      <c r="AG11" s="167">
        <f>+(AF11+AF12+AF13+AF14)/4</f>
        <v>0.98916666666666664</v>
      </c>
      <c r="AH11" s="46" t="s">
        <v>72</v>
      </c>
      <c r="AI11" s="46" t="s">
        <v>73</v>
      </c>
      <c r="AJ11" s="50" t="s">
        <v>74</v>
      </c>
      <c r="AK11" s="51" t="s">
        <v>71</v>
      </c>
      <c r="AL11" s="52" t="s">
        <v>75</v>
      </c>
      <c r="AM11" s="53" t="s">
        <v>685</v>
      </c>
      <c r="AN11" s="52" t="s">
        <v>775</v>
      </c>
      <c r="AO11" s="147" t="s">
        <v>776</v>
      </c>
      <c r="AP11" s="52" t="s">
        <v>801</v>
      </c>
      <c r="AQ11" s="147" t="s">
        <v>802</v>
      </c>
      <c r="AR11" s="54"/>
    </row>
    <row r="12" spans="1:44" s="55" customFormat="1" ht="191.25" customHeight="1" thickBot="1" x14ac:dyDescent="0.25">
      <c r="A12" s="39">
        <v>2</v>
      </c>
      <c r="B12" s="56" t="s">
        <v>57</v>
      </c>
      <c r="C12" s="40" t="s">
        <v>58</v>
      </c>
      <c r="D12" s="41" t="s">
        <v>59</v>
      </c>
      <c r="E12" s="40" t="s">
        <v>60</v>
      </c>
      <c r="F12" s="40" t="s">
        <v>61</v>
      </c>
      <c r="G12" s="40" t="s">
        <v>76</v>
      </c>
      <c r="H12" s="40" t="s">
        <v>77</v>
      </c>
      <c r="I12" s="40" t="s">
        <v>78</v>
      </c>
      <c r="J12" s="40" t="s">
        <v>79</v>
      </c>
      <c r="K12" s="40" t="s">
        <v>80</v>
      </c>
      <c r="L12" s="40" t="s">
        <v>67</v>
      </c>
      <c r="M12" s="57">
        <v>2</v>
      </c>
      <c r="N12" s="40" t="s">
        <v>81</v>
      </c>
      <c r="O12" s="58">
        <v>4</v>
      </c>
      <c r="P12" s="43">
        <v>0.25</v>
      </c>
      <c r="Q12" s="40" t="s">
        <v>82</v>
      </c>
      <c r="R12" s="44">
        <v>45292</v>
      </c>
      <c r="S12" s="44">
        <v>45657</v>
      </c>
      <c r="T12" s="59">
        <v>1</v>
      </c>
      <c r="U12" s="45">
        <v>1</v>
      </c>
      <c r="V12" s="46">
        <f>+(T12/U12)*$P$12</f>
        <v>0.25</v>
      </c>
      <c r="W12" s="42">
        <v>1</v>
      </c>
      <c r="X12" s="45">
        <v>1</v>
      </c>
      <c r="Y12" s="46">
        <f>+(W12/X12)*$P$12</f>
        <v>0.25</v>
      </c>
      <c r="Z12" s="42">
        <v>1</v>
      </c>
      <c r="AA12" s="45">
        <v>1</v>
      </c>
      <c r="AB12" s="46">
        <f>+(Z12/AA12)*$P$12</f>
        <v>0.25</v>
      </c>
      <c r="AC12" s="42">
        <v>1</v>
      </c>
      <c r="AD12" s="45">
        <v>1</v>
      </c>
      <c r="AE12" s="46">
        <f>+(AC12/AD12)*$P$12</f>
        <v>0.25</v>
      </c>
      <c r="AF12" s="60">
        <f t="shared" ref="AF12:AF20" si="0">+V12+Y12+AB12+AE12</f>
        <v>1</v>
      </c>
      <c r="AG12" s="167"/>
      <c r="AH12" s="46" t="s">
        <v>72</v>
      </c>
      <c r="AI12" s="61" t="s">
        <v>73</v>
      </c>
      <c r="AJ12" s="52" t="s">
        <v>83</v>
      </c>
      <c r="AK12" s="51" t="s">
        <v>71</v>
      </c>
      <c r="AL12" s="52" t="s">
        <v>84</v>
      </c>
      <c r="AM12" s="53" t="s">
        <v>686</v>
      </c>
      <c r="AN12" s="52" t="s">
        <v>796</v>
      </c>
      <c r="AO12" s="147" t="s">
        <v>797</v>
      </c>
      <c r="AP12" s="52" t="s">
        <v>903</v>
      </c>
      <c r="AQ12" s="147" t="s">
        <v>904</v>
      </c>
      <c r="AR12" s="54"/>
    </row>
    <row r="13" spans="1:44" s="55" customFormat="1" ht="171" customHeight="1" thickBot="1" x14ac:dyDescent="0.25">
      <c r="A13" s="39">
        <v>3</v>
      </c>
      <c r="B13" s="40" t="s">
        <v>85</v>
      </c>
      <c r="C13" s="62" t="s">
        <v>58</v>
      </c>
      <c r="D13" s="41" t="s">
        <v>59</v>
      </c>
      <c r="E13" s="40" t="s">
        <v>60</v>
      </c>
      <c r="F13" s="40" t="s">
        <v>61</v>
      </c>
      <c r="G13" s="40" t="s">
        <v>86</v>
      </c>
      <c r="H13" s="40" t="s">
        <v>87</v>
      </c>
      <c r="I13" s="40" t="s">
        <v>88</v>
      </c>
      <c r="J13" s="40" t="s">
        <v>89</v>
      </c>
      <c r="K13" s="40" t="s">
        <v>80</v>
      </c>
      <c r="L13" s="40" t="s">
        <v>90</v>
      </c>
      <c r="M13" s="40">
        <v>4</v>
      </c>
      <c r="N13" s="40" t="s">
        <v>81</v>
      </c>
      <c r="O13" s="42">
        <v>4</v>
      </c>
      <c r="P13" s="43">
        <v>0.25</v>
      </c>
      <c r="Q13" s="40" t="s">
        <v>91</v>
      </c>
      <c r="R13" s="44">
        <v>45292</v>
      </c>
      <c r="S13" s="44">
        <v>45657</v>
      </c>
      <c r="T13" s="42">
        <v>1</v>
      </c>
      <c r="U13" s="45">
        <v>1</v>
      </c>
      <c r="V13" s="46">
        <f>+(T13/U13)*$P$13</f>
        <v>0.25</v>
      </c>
      <c r="W13" s="42">
        <v>1</v>
      </c>
      <c r="X13" s="45">
        <v>1</v>
      </c>
      <c r="Y13" s="46">
        <f>+(W13/X13)*$P$13</f>
        <v>0.25</v>
      </c>
      <c r="Z13" s="42">
        <v>1</v>
      </c>
      <c r="AA13" s="45">
        <v>1</v>
      </c>
      <c r="AB13" s="46">
        <f>+(Z13/AA13)*$P$13</f>
        <v>0.25</v>
      </c>
      <c r="AC13" s="42">
        <v>1</v>
      </c>
      <c r="AD13" s="45">
        <v>1</v>
      </c>
      <c r="AE13" s="46">
        <f>+(AC13/AD13)*$P$13</f>
        <v>0.25</v>
      </c>
      <c r="AF13" s="60">
        <f t="shared" si="0"/>
        <v>1</v>
      </c>
      <c r="AG13" s="167"/>
      <c r="AH13" s="46" t="s">
        <v>72</v>
      </c>
      <c r="AI13" s="61" t="s">
        <v>73</v>
      </c>
      <c r="AJ13" s="63" t="s">
        <v>92</v>
      </c>
      <c r="AK13" s="51" t="s">
        <v>71</v>
      </c>
      <c r="AL13" s="52" t="s">
        <v>684</v>
      </c>
      <c r="AM13" s="53" t="s">
        <v>687</v>
      </c>
      <c r="AN13" s="52" t="s">
        <v>798</v>
      </c>
      <c r="AO13" s="147" t="s">
        <v>799</v>
      </c>
      <c r="AP13" s="162" t="s">
        <v>909</v>
      </c>
      <c r="AQ13" s="147" t="s">
        <v>910</v>
      </c>
      <c r="AR13" s="54"/>
    </row>
    <row r="14" spans="1:44" s="55" customFormat="1" ht="139.5" customHeight="1" thickBot="1" x14ac:dyDescent="0.25">
      <c r="A14" s="39">
        <v>4</v>
      </c>
      <c r="B14" s="40" t="s">
        <v>85</v>
      </c>
      <c r="C14" s="40" t="s">
        <v>58</v>
      </c>
      <c r="D14" s="41" t="s">
        <v>59</v>
      </c>
      <c r="E14" s="40" t="s">
        <v>60</v>
      </c>
      <c r="F14" s="40" t="s">
        <v>61</v>
      </c>
      <c r="G14" s="40" t="s">
        <v>93</v>
      </c>
      <c r="H14" s="40" t="s">
        <v>94</v>
      </c>
      <c r="I14" s="40" t="s">
        <v>95</v>
      </c>
      <c r="J14" s="40" t="s">
        <v>96</v>
      </c>
      <c r="K14" s="40" t="s">
        <v>80</v>
      </c>
      <c r="L14" s="40" t="s">
        <v>90</v>
      </c>
      <c r="M14" s="40">
        <v>3</v>
      </c>
      <c r="N14" s="40" t="s">
        <v>81</v>
      </c>
      <c r="O14" s="42">
        <v>4</v>
      </c>
      <c r="P14" s="43">
        <v>0.25</v>
      </c>
      <c r="Q14" s="40" t="s">
        <v>91</v>
      </c>
      <c r="R14" s="44">
        <v>45292</v>
      </c>
      <c r="S14" s="44">
        <v>45657</v>
      </c>
      <c r="T14" s="42">
        <v>1</v>
      </c>
      <c r="U14" s="45">
        <v>1</v>
      </c>
      <c r="V14" s="46">
        <f>+(T14/U14)*$P$14</f>
        <v>0.25</v>
      </c>
      <c r="W14" s="42">
        <v>1</v>
      </c>
      <c r="X14" s="45">
        <v>1</v>
      </c>
      <c r="Y14" s="46">
        <f>+(W14/X14)*$P$14</f>
        <v>0.25</v>
      </c>
      <c r="Z14" s="42">
        <v>1</v>
      </c>
      <c r="AA14" s="45">
        <v>1</v>
      </c>
      <c r="AB14" s="46">
        <f>+(Z14/AA14)*$P$14</f>
        <v>0.25</v>
      </c>
      <c r="AC14" s="42">
        <v>1</v>
      </c>
      <c r="AD14" s="45">
        <v>1</v>
      </c>
      <c r="AE14" s="46">
        <f>+(AC14/AD14)*$P$14</f>
        <v>0.25</v>
      </c>
      <c r="AF14" s="60">
        <f t="shared" si="0"/>
        <v>1</v>
      </c>
      <c r="AG14" s="167"/>
      <c r="AH14" s="46" t="s">
        <v>72</v>
      </c>
      <c r="AI14" s="61" t="s">
        <v>73</v>
      </c>
      <c r="AJ14" s="52" t="s">
        <v>97</v>
      </c>
      <c r="AK14" s="51" t="s">
        <v>71</v>
      </c>
      <c r="AL14" s="52" t="s">
        <v>98</v>
      </c>
      <c r="AM14" s="53" t="s">
        <v>688</v>
      </c>
      <c r="AN14" s="52" t="s">
        <v>777</v>
      </c>
      <c r="AO14" s="147" t="s">
        <v>778</v>
      </c>
      <c r="AP14" s="52" t="s">
        <v>803</v>
      </c>
      <c r="AQ14" s="147" t="s">
        <v>804</v>
      </c>
      <c r="AR14" s="54"/>
    </row>
    <row r="15" spans="1:44" s="54" customFormat="1" ht="213.75" customHeight="1" thickBot="1" x14ac:dyDescent="0.25">
      <c r="A15" s="39">
        <v>5</v>
      </c>
      <c r="B15" s="40" t="s">
        <v>99</v>
      </c>
      <c r="C15" s="40" t="s">
        <v>100</v>
      </c>
      <c r="D15" s="41" t="s">
        <v>101</v>
      </c>
      <c r="E15" s="40" t="s">
        <v>102</v>
      </c>
      <c r="F15" s="40" t="s">
        <v>103</v>
      </c>
      <c r="G15" s="40" t="s">
        <v>104</v>
      </c>
      <c r="H15" s="40" t="s">
        <v>105</v>
      </c>
      <c r="I15" s="40" t="s">
        <v>106</v>
      </c>
      <c r="J15" s="40" t="s">
        <v>107</v>
      </c>
      <c r="K15" s="40" t="s">
        <v>66</v>
      </c>
      <c r="L15" s="40" t="s">
        <v>67</v>
      </c>
      <c r="M15" s="64">
        <v>0.92</v>
      </c>
      <c r="N15" s="40" t="s">
        <v>108</v>
      </c>
      <c r="O15" s="64">
        <v>0.95</v>
      </c>
      <c r="P15" s="43">
        <v>0.25</v>
      </c>
      <c r="Q15" s="40" t="s">
        <v>91</v>
      </c>
      <c r="R15" s="44">
        <v>45292</v>
      </c>
      <c r="S15" s="44">
        <v>45657</v>
      </c>
      <c r="T15" s="64">
        <f>13/15</f>
        <v>0.8666666666666667</v>
      </c>
      <c r="U15" s="64">
        <f>+$O$15</f>
        <v>0.95</v>
      </c>
      <c r="V15" s="46">
        <f>IF(((T15*0.25)/U15)&gt;0.25,0.25,(T15*0.25)/U15)</f>
        <v>0.22807017543859651</v>
      </c>
      <c r="W15" s="72">
        <f>1140/1143</f>
        <v>0.99737532808398954</v>
      </c>
      <c r="X15" s="64">
        <f>+$O$15</f>
        <v>0.95</v>
      </c>
      <c r="Y15" s="46">
        <f>IF(((W15*0.25)/X15)&gt;0.25,0.25,(W15*0.25)/X15)</f>
        <v>0.25</v>
      </c>
      <c r="Z15" s="64">
        <f>1192/1290</f>
        <v>0.92403100775193803</v>
      </c>
      <c r="AA15" s="64">
        <f>+$O$15</f>
        <v>0.95</v>
      </c>
      <c r="AB15" s="46">
        <f>IF(((Z15*0.25)/AA15)&gt;0.25,0.25,(Z15*0.25)/AA15)</f>
        <v>0.24316605467156266</v>
      </c>
      <c r="AC15" s="64">
        <f>3778/3778</f>
        <v>1</v>
      </c>
      <c r="AD15" s="64">
        <f>+$O$15</f>
        <v>0.95</v>
      </c>
      <c r="AE15" s="46">
        <f>IF(((AC15*0.25)/AD15)&gt;0.25,0.25,(AC15*0.25)/AD15)</f>
        <v>0.25</v>
      </c>
      <c r="AF15" s="60">
        <f t="shared" si="0"/>
        <v>0.97123623011015914</v>
      </c>
      <c r="AG15" s="169">
        <f>+(AF15+AF16+AF17+AF18)/4</f>
        <v>0.93017264496113417</v>
      </c>
      <c r="AH15" s="46" t="s">
        <v>109</v>
      </c>
      <c r="AI15" s="61" t="s">
        <v>110</v>
      </c>
      <c r="AJ15" s="65" t="s">
        <v>111</v>
      </c>
      <c r="AK15" s="66"/>
      <c r="AL15" s="138" t="s">
        <v>667</v>
      </c>
      <c r="AM15" s="53" t="s">
        <v>668</v>
      </c>
      <c r="AN15" s="52" t="s">
        <v>788</v>
      </c>
      <c r="AO15" s="147" t="s">
        <v>792</v>
      </c>
      <c r="AP15" s="149" t="s">
        <v>805</v>
      </c>
      <c r="AQ15" s="147" t="s">
        <v>806</v>
      </c>
    </row>
    <row r="16" spans="1:44" s="54" customFormat="1" ht="409.6" thickBot="1" x14ac:dyDescent="0.25">
      <c r="A16" s="39">
        <v>6</v>
      </c>
      <c r="B16" s="40" t="s">
        <v>99</v>
      </c>
      <c r="C16" s="40" t="s">
        <v>100</v>
      </c>
      <c r="D16" s="41" t="s">
        <v>101</v>
      </c>
      <c r="E16" s="40" t="s">
        <v>112</v>
      </c>
      <c r="F16" s="40" t="s">
        <v>103</v>
      </c>
      <c r="G16" s="40" t="s">
        <v>113</v>
      </c>
      <c r="H16" s="40" t="s">
        <v>114</v>
      </c>
      <c r="I16" s="40" t="s">
        <v>115</v>
      </c>
      <c r="J16" s="40" t="s">
        <v>116</v>
      </c>
      <c r="K16" s="40" t="s">
        <v>66</v>
      </c>
      <c r="L16" s="40" t="s">
        <v>117</v>
      </c>
      <c r="M16" s="64">
        <v>0.95</v>
      </c>
      <c r="N16" s="40" t="s">
        <v>108</v>
      </c>
      <c r="O16" s="64">
        <v>0.98</v>
      </c>
      <c r="P16" s="43">
        <v>0.25</v>
      </c>
      <c r="Q16" s="40" t="s">
        <v>91</v>
      </c>
      <c r="R16" s="44">
        <v>45292</v>
      </c>
      <c r="S16" s="44">
        <v>45657</v>
      </c>
      <c r="T16" s="64">
        <f>47/49</f>
        <v>0.95918367346938771</v>
      </c>
      <c r="U16" s="64">
        <f>+$O$16</f>
        <v>0.98</v>
      </c>
      <c r="V16" s="46">
        <f>IF(((T16*0.25)/U16)&gt;0.25,0.25,(T16*0.25)/U16)</f>
        <v>0.24468971261974176</v>
      </c>
      <c r="W16" s="64">
        <v>0.93577981651376152</v>
      </c>
      <c r="X16" s="64">
        <f>+$O$16</f>
        <v>0.98</v>
      </c>
      <c r="Y16" s="46">
        <f>IF(((W16*0.25)/X16)&gt;0.25,0.25,(W16*0.25)/X16)</f>
        <v>0.23871934094738814</v>
      </c>
      <c r="Z16" s="64">
        <f>196/205</f>
        <v>0.95609756097560972</v>
      </c>
      <c r="AA16" s="64">
        <f>+$O$16</f>
        <v>0.98</v>
      </c>
      <c r="AB16" s="46">
        <f>IF(((Z16*0.25)/AA16)&gt;0.25,0.25,(Z16*0.25)/AA16)</f>
        <v>0.24390243902439024</v>
      </c>
      <c r="AC16" s="64">
        <f>114/116</f>
        <v>0.98275862068965514</v>
      </c>
      <c r="AD16" s="64">
        <f>+$O$16</f>
        <v>0.98</v>
      </c>
      <c r="AE16" s="46">
        <f>IF(((AC16*0.25)/AD16)&gt;0.25,0.25,(AC16*0.25)/AD16)</f>
        <v>0.25</v>
      </c>
      <c r="AF16" s="60">
        <f t="shared" si="0"/>
        <v>0.97731149259152017</v>
      </c>
      <c r="AG16" s="169"/>
      <c r="AH16" s="46" t="s">
        <v>109</v>
      </c>
      <c r="AI16" s="61" t="s">
        <v>110</v>
      </c>
      <c r="AJ16" s="65" t="s">
        <v>118</v>
      </c>
      <c r="AK16" s="67" t="s">
        <v>119</v>
      </c>
      <c r="AL16" s="138" t="s">
        <v>664</v>
      </c>
      <c r="AM16" s="71" t="s">
        <v>669</v>
      </c>
      <c r="AN16" s="52" t="s">
        <v>789</v>
      </c>
      <c r="AO16" s="147" t="s">
        <v>793</v>
      </c>
      <c r="AP16" s="149" t="s">
        <v>807</v>
      </c>
      <c r="AQ16" s="147" t="s">
        <v>808</v>
      </c>
    </row>
    <row r="17" spans="1:44" s="54" customFormat="1" ht="409.5" customHeight="1" thickBot="1" x14ac:dyDescent="0.25">
      <c r="A17" s="39">
        <v>7</v>
      </c>
      <c r="B17" s="40" t="s">
        <v>99</v>
      </c>
      <c r="C17" s="40" t="s">
        <v>100</v>
      </c>
      <c r="D17" s="41" t="s">
        <v>101</v>
      </c>
      <c r="E17" s="40" t="s">
        <v>112</v>
      </c>
      <c r="F17" s="40" t="s">
        <v>103</v>
      </c>
      <c r="G17" s="40" t="s">
        <v>120</v>
      </c>
      <c r="H17" s="40" t="s">
        <v>121</v>
      </c>
      <c r="I17" s="40" t="s">
        <v>122</v>
      </c>
      <c r="J17" s="40" t="s">
        <v>123</v>
      </c>
      <c r="K17" s="40" t="s">
        <v>66</v>
      </c>
      <c r="L17" s="40" t="s">
        <v>117</v>
      </c>
      <c r="M17" s="64">
        <v>0.75</v>
      </c>
      <c r="N17" s="40" t="s">
        <v>124</v>
      </c>
      <c r="O17" s="64">
        <v>0.9</v>
      </c>
      <c r="P17" s="43" t="s">
        <v>125</v>
      </c>
      <c r="Q17" s="40" t="s">
        <v>91</v>
      </c>
      <c r="R17" s="44">
        <v>45292</v>
      </c>
      <c r="S17" s="44">
        <v>45657</v>
      </c>
      <c r="T17" s="42">
        <v>5</v>
      </c>
      <c r="U17" s="45">
        <v>5</v>
      </c>
      <c r="V17" s="46">
        <f>IFERROR((T17/U17)*0.25,0)</f>
        <v>0.25</v>
      </c>
      <c r="W17" s="42">
        <v>6</v>
      </c>
      <c r="X17" s="45">
        <v>9</v>
      </c>
      <c r="Y17" s="46">
        <f>IFERROR((W17/X17)*0.25,0)</f>
        <v>0.16666666666666666</v>
      </c>
      <c r="Z17" s="42">
        <v>5</v>
      </c>
      <c r="AA17" s="45">
        <v>6</v>
      </c>
      <c r="AB17" s="46">
        <f>IFERROR((Z17/AA17)*0.25,0)</f>
        <v>0.20833333333333334</v>
      </c>
      <c r="AC17" s="42">
        <v>6</v>
      </c>
      <c r="AD17" s="45">
        <v>7</v>
      </c>
      <c r="AE17" s="46">
        <f>IFERROR((AC17/AD17)*0.25,0)</f>
        <v>0.21428571428571427</v>
      </c>
      <c r="AF17" s="60">
        <f t="shared" si="0"/>
        <v>0.8392857142857143</v>
      </c>
      <c r="AG17" s="169"/>
      <c r="AH17" s="46" t="s">
        <v>109</v>
      </c>
      <c r="AI17" s="61" t="s">
        <v>110</v>
      </c>
      <c r="AJ17" s="68" t="s">
        <v>126</v>
      </c>
      <c r="AK17" s="67" t="s">
        <v>127</v>
      </c>
      <c r="AL17" s="138" t="s">
        <v>665</v>
      </c>
      <c r="AM17" s="71" t="s">
        <v>690</v>
      </c>
      <c r="AN17" s="52" t="s">
        <v>790</v>
      </c>
      <c r="AO17" s="147" t="s">
        <v>794</v>
      </c>
      <c r="AP17" s="149" t="s">
        <v>809</v>
      </c>
      <c r="AQ17" s="147" t="s">
        <v>810</v>
      </c>
    </row>
    <row r="18" spans="1:44" s="69" customFormat="1" ht="282.75" customHeight="1" thickBot="1" x14ac:dyDescent="0.25">
      <c r="A18" s="39">
        <v>8</v>
      </c>
      <c r="B18" s="40" t="s">
        <v>99</v>
      </c>
      <c r="C18" s="40" t="s">
        <v>100</v>
      </c>
      <c r="D18" s="41" t="s">
        <v>101</v>
      </c>
      <c r="E18" s="40" t="s">
        <v>112</v>
      </c>
      <c r="F18" s="40" t="s">
        <v>103</v>
      </c>
      <c r="G18" s="40" t="s">
        <v>128</v>
      </c>
      <c r="H18" s="40" t="s">
        <v>129</v>
      </c>
      <c r="I18" s="40" t="s">
        <v>130</v>
      </c>
      <c r="J18" s="40" t="s">
        <v>131</v>
      </c>
      <c r="K18" s="40" t="s">
        <v>80</v>
      </c>
      <c r="L18" s="40" t="s">
        <v>117</v>
      </c>
      <c r="M18" s="40" t="s">
        <v>71</v>
      </c>
      <c r="N18" s="40" t="s">
        <v>124</v>
      </c>
      <c r="O18" s="42">
        <v>800</v>
      </c>
      <c r="P18" s="43">
        <v>0.25</v>
      </c>
      <c r="Q18" s="40" t="s">
        <v>91</v>
      </c>
      <c r="R18" s="44">
        <v>45292</v>
      </c>
      <c r="S18" s="44">
        <v>45657</v>
      </c>
      <c r="T18" s="42">
        <v>140</v>
      </c>
      <c r="U18" s="45">
        <v>140</v>
      </c>
      <c r="V18" s="46">
        <f>IF(T18&gt;=U18, 0.25, (T18/U18)*0.25)</f>
        <v>0.25</v>
      </c>
      <c r="W18" s="42">
        <v>256</v>
      </c>
      <c r="X18" s="45">
        <v>350</v>
      </c>
      <c r="Y18" s="46">
        <f>IF(W18&gt;=X18, 0.25, (W18/X18)*0.25)</f>
        <v>0.18285714285714286</v>
      </c>
      <c r="Z18" s="42">
        <v>267</v>
      </c>
      <c r="AA18" s="45">
        <v>200</v>
      </c>
      <c r="AB18" s="46">
        <f>IF(Z18&gt;=AA18, 0.25, (Z18/AA18)*0.25)</f>
        <v>0.25</v>
      </c>
      <c r="AC18" s="42">
        <v>233</v>
      </c>
      <c r="AD18" s="45">
        <v>110</v>
      </c>
      <c r="AE18" s="46">
        <f>IF(AC18&gt;=AD18, 0.25, (AC18/AD18)*0.25)</f>
        <v>0.25</v>
      </c>
      <c r="AF18" s="60">
        <f t="shared" si="0"/>
        <v>0.93285714285714283</v>
      </c>
      <c r="AG18" s="169"/>
      <c r="AH18" s="46" t="s">
        <v>109</v>
      </c>
      <c r="AI18" s="61" t="s">
        <v>110</v>
      </c>
      <c r="AJ18" s="65" t="s">
        <v>132</v>
      </c>
      <c r="AK18" s="67" t="s">
        <v>133</v>
      </c>
      <c r="AL18" s="138" t="s">
        <v>666</v>
      </c>
      <c r="AM18" s="53" t="s">
        <v>670</v>
      </c>
      <c r="AN18" s="52" t="s">
        <v>791</v>
      </c>
      <c r="AO18" s="147" t="s">
        <v>795</v>
      </c>
      <c r="AP18" s="149" t="s">
        <v>811</v>
      </c>
      <c r="AQ18" s="147" t="s">
        <v>812</v>
      </c>
    </row>
    <row r="19" spans="1:44" s="54" customFormat="1" ht="225" customHeight="1" thickBot="1" x14ac:dyDescent="0.25">
      <c r="A19" s="39">
        <v>9</v>
      </c>
      <c r="B19" s="40" t="s">
        <v>134</v>
      </c>
      <c r="C19" s="40" t="s">
        <v>135</v>
      </c>
      <c r="D19" s="41" t="s">
        <v>136</v>
      </c>
      <c r="E19" s="40" t="s">
        <v>137</v>
      </c>
      <c r="F19" s="40" t="s">
        <v>138</v>
      </c>
      <c r="G19" s="40" t="s">
        <v>139</v>
      </c>
      <c r="H19" s="40" t="s">
        <v>140</v>
      </c>
      <c r="I19" s="40" t="s">
        <v>141</v>
      </c>
      <c r="J19" s="40" t="s">
        <v>142</v>
      </c>
      <c r="K19" s="40" t="s">
        <v>80</v>
      </c>
      <c r="L19" s="40" t="s">
        <v>67</v>
      </c>
      <c r="M19" s="40" t="s">
        <v>71</v>
      </c>
      <c r="N19" s="40" t="s">
        <v>143</v>
      </c>
      <c r="O19" s="64">
        <v>0.2</v>
      </c>
      <c r="P19" s="43" t="s">
        <v>125</v>
      </c>
      <c r="Q19" s="40" t="s">
        <v>91</v>
      </c>
      <c r="R19" s="44">
        <v>45292</v>
      </c>
      <c r="S19" s="44">
        <v>45657</v>
      </c>
      <c r="T19" s="42">
        <v>867</v>
      </c>
      <c r="U19" s="45">
        <f>18123*5%</f>
        <v>906.15000000000009</v>
      </c>
      <c r="V19" s="46">
        <f>+(T19/U19)*0.25</f>
        <v>0.23919880814434694</v>
      </c>
      <c r="W19" s="42">
        <v>440</v>
      </c>
      <c r="X19" s="45">
        <v>906</v>
      </c>
      <c r="Y19" s="46">
        <f>+(W19/X19)*0.25</f>
        <v>0.12141280353200883</v>
      </c>
      <c r="Z19" s="42">
        <v>27</v>
      </c>
      <c r="AA19" s="45">
        <v>906</v>
      </c>
      <c r="AB19" s="46">
        <f>+(Z19/AA19)*0.25</f>
        <v>7.4503311258278145E-3</v>
      </c>
      <c r="AC19" s="42">
        <v>2589</v>
      </c>
      <c r="AD19" s="45">
        <v>906</v>
      </c>
      <c r="AE19" s="46">
        <f>+(AC19/AD19)*0.25</f>
        <v>0.71440397350993379</v>
      </c>
      <c r="AF19" s="60">
        <f t="shared" si="0"/>
        <v>1.0824659163121173</v>
      </c>
      <c r="AG19" s="166">
        <f>SUM(AF19:AF21)/3</f>
        <v>0.89311363877070582</v>
      </c>
      <c r="AH19" s="46" t="s">
        <v>109</v>
      </c>
      <c r="AI19" s="61" t="s">
        <v>110</v>
      </c>
      <c r="AJ19" s="65" t="s">
        <v>144</v>
      </c>
      <c r="AK19" s="67" t="s">
        <v>145</v>
      </c>
      <c r="AL19" s="52" t="s">
        <v>656</v>
      </c>
      <c r="AM19" s="53" t="s">
        <v>657</v>
      </c>
      <c r="AN19" s="138" t="s">
        <v>779</v>
      </c>
      <c r="AO19" s="147" t="s">
        <v>780</v>
      </c>
      <c r="AP19" s="138" t="s">
        <v>813</v>
      </c>
      <c r="AQ19" s="148" t="s">
        <v>814</v>
      </c>
    </row>
    <row r="20" spans="1:44" s="70" customFormat="1" ht="183" customHeight="1" thickBot="1" x14ac:dyDescent="0.25">
      <c r="A20" s="39">
        <v>10</v>
      </c>
      <c r="B20" s="40" t="s">
        <v>134</v>
      </c>
      <c r="C20" s="40" t="s">
        <v>135</v>
      </c>
      <c r="D20" s="41" t="s">
        <v>136</v>
      </c>
      <c r="E20" s="40" t="s">
        <v>137</v>
      </c>
      <c r="F20" s="40" t="s">
        <v>146</v>
      </c>
      <c r="G20" s="40" t="s">
        <v>147</v>
      </c>
      <c r="H20" s="40" t="s">
        <v>148</v>
      </c>
      <c r="I20" s="40" t="s">
        <v>149</v>
      </c>
      <c r="J20" s="40" t="s">
        <v>150</v>
      </c>
      <c r="K20" s="40" t="s">
        <v>66</v>
      </c>
      <c r="L20" s="40" t="s">
        <v>67</v>
      </c>
      <c r="M20" s="40" t="s">
        <v>71</v>
      </c>
      <c r="N20" s="40" t="s">
        <v>71</v>
      </c>
      <c r="O20" s="42">
        <v>116</v>
      </c>
      <c r="P20" s="43">
        <v>0.25</v>
      </c>
      <c r="Q20" s="40" t="s">
        <v>91</v>
      </c>
      <c r="R20" s="44">
        <v>45292</v>
      </c>
      <c r="S20" s="44">
        <v>45657</v>
      </c>
      <c r="T20" s="42">
        <v>0</v>
      </c>
      <c r="U20" s="45">
        <v>80</v>
      </c>
      <c r="V20" s="46">
        <f>+(T20/U20)*0.25</f>
        <v>0</v>
      </c>
      <c r="W20" s="42">
        <v>3</v>
      </c>
      <c r="X20" s="45">
        <v>80</v>
      </c>
      <c r="Y20" s="46">
        <f>+(W20/X20)*0.25</f>
        <v>9.3749999999999997E-3</v>
      </c>
      <c r="Z20" s="42">
        <v>62</v>
      </c>
      <c r="AA20" s="45">
        <v>80</v>
      </c>
      <c r="AB20" s="46">
        <f>+(Z20/AA20)*0.25</f>
        <v>0.19375000000000001</v>
      </c>
      <c r="AC20" s="42">
        <v>94</v>
      </c>
      <c r="AD20" s="45">
        <v>80</v>
      </c>
      <c r="AE20" s="46">
        <f>+(AC20/AD20)*0.25</f>
        <v>0.29375000000000001</v>
      </c>
      <c r="AF20" s="60">
        <f t="shared" si="0"/>
        <v>0.49687500000000001</v>
      </c>
      <c r="AG20" s="166"/>
      <c r="AH20" s="46" t="s">
        <v>109</v>
      </c>
      <c r="AI20" s="61" t="s">
        <v>110</v>
      </c>
      <c r="AJ20" s="65" t="s">
        <v>151</v>
      </c>
      <c r="AK20" s="67" t="s">
        <v>152</v>
      </c>
      <c r="AL20" s="52" t="s">
        <v>658</v>
      </c>
      <c r="AM20" s="53" t="s">
        <v>659</v>
      </c>
      <c r="AN20" s="138" t="s">
        <v>691</v>
      </c>
      <c r="AO20" s="147" t="s">
        <v>696</v>
      </c>
      <c r="AP20" s="145" t="s">
        <v>815</v>
      </c>
      <c r="AQ20" s="148" t="s">
        <v>816</v>
      </c>
    </row>
    <row r="21" spans="1:44" s="70" customFormat="1" ht="163.5" customHeight="1" thickBot="1" x14ac:dyDescent="0.25">
      <c r="A21" s="39">
        <v>11</v>
      </c>
      <c r="B21" s="40" t="s">
        <v>134</v>
      </c>
      <c r="C21" s="40" t="s">
        <v>135</v>
      </c>
      <c r="D21" s="41" t="s">
        <v>136</v>
      </c>
      <c r="E21" s="40" t="s">
        <v>137</v>
      </c>
      <c r="F21" s="40" t="s">
        <v>138</v>
      </c>
      <c r="G21" s="40" t="s">
        <v>153</v>
      </c>
      <c r="H21" s="40" t="s">
        <v>154</v>
      </c>
      <c r="I21" s="40" t="s">
        <v>155</v>
      </c>
      <c r="J21" s="40" t="s">
        <v>156</v>
      </c>
      <c r="K21" s="40" t="s">
        <v>66</v>
      </c>
      <c r="L21" s="40" t="s">
        <v>67</v>
      </c>
      <c r="M21" s="40" t="s">
        <v>71</v>
      </c>
      <c r="N21" s="40" t="s">
        <v>71</v>
      </c>
      <c r="O21" s="42">
        <v>30</v>
      </c>
      <c r="P21" s="43">
        <v>0.5</v>
      </c>
      <c r="Q21" s="40" t="s">
        <v>157</v>
      </c>
      <c r="R21" s="44">
        <v>45292</v>
      </c>
      <c r="S21" s="44">
        <v>45657</v>
      </c>
      <c r="T21" s="42">
        <v>0</v>
      </c>
      <c r="U21" s="45">
        <v>0</v>
      </c>
      <c r="V21" s="46" t="s">
        <v>71</v>
      </c>
      <c r="W21" s="42">
        <v>17</v>
      </c>
      <c r="X21" s="45">
        <v>30</v>
      </c>
      <c r="Y21" s="46">
        <f>+(W21/X21)*0.5</f>
        <v>0.28333333333333333</v>
      </c>
      <c r="Z21" s="42" t="s">
        <v>316</v>
      </c>
      <c r="AA21" s="45" t="s">
        <v>539</v>
      </c>
      <c r="AB21" s="46" t="s">
        <v>71</v>
      </c>
      <c r="AC21" s="42">
        <f>32+17</f>
        <v>49</v>
      </c>
      <c r="AD21" s="45">
        <v>30</v>
      </c>
      <c r="AE21" s="46">
        <f>+(AC21/AD21)*0.5</f>
        <v>0.81666666666666665</v>
      </c>
      <c r="AF21" s="60">
        <f>Y21+AE21</f>
        <v>1.1000000000000001</v>
      </c>
      <c r="AG21" s="166"/>
      <c r="AH21" s="46" t="s">
        <v>109</v>
      </c>
      <c r="AI21" s="61" t="s">
        <v>110</v>
      </c>
      <c r="AJ21" s="65" t="s">
        <v>158</v>
      </c>
      <c r="AK21" s="67" t="s">
        <v>159</v>
      </c>
      <c r="AL21" s="52" t="s">
        <v>160</v>
      </c>
      <c r="AM21" s="53" t="s">
        <v>660</v>
      </c>
      <c r="AN21" s="138" t="s">
        <v>692</v>
      </c>
      <c r="AO21" s="147" t="s">
        <v>697</v>
      </c>
      <c r="AP21" s="144" t="s">
        <v>817</v>
      </c>
      <c r="AQ21" s="147" t="s">
        <v>818</v>
      </c>
    </row>
    <row r="22" spans="1:44" s="55" customFormat="1" ht="212.25" customHeight="1" thickBot="1" x14ac:dyDescent="0.25">
      <c r="A22" s="39">
        <v>12</v>
      </c>
      <c r="B22" s="40" t="s">
        <v>134</v>
      </c>
      <c r="C22" s="40" t="s">
        <v>135</v>
      </c>
      <c r="D22" s="41" t="s">
        <v>161</v>
      </c>
      <c r="E22" s="40" t="s">
        <v>162</v>
      </c>
      <c r="F22" s="40" t="s">
        <v>163</v>
      </c>
      <c r="G22" s="40" t="s">
        <v>164</v>
      </c>
      <c r="H22" s="40" t="s">
        <v>165</v>
      </c>
      <c r="I22" s="40" t="s">
        <v>166</v>
      </c>
      <c r="J22" s="40" t="s">
        <v>167</v>
      </c>
      <c r="K22" s="40" t="s">
        <v>80</v>
      </c>
      <c r="L22" s="40" t="s">
        <v>67</v>
      </c>
      <c r="M22" s="40" t="s">
        <v>71</v>
      </c>
      <c r="N22" s="40" t="s">
        <v>168</v>
      </c>
      <c r="O22" s="42">
        <v>1800</v>
      </c>
      <c r="P22" s="43" t="s">
        <v>125</v>
      </c>
      <c r="Q22" s="40" t="s">
        <v>91</v>
      </c>
      <c r="R22" s="44">
        <v>45292</v>
      </c>
      <c r="S22" s="44">
        <v>45657</v>
      </c>
      <c r="T22" s="42">
        <v>82</v>
      </c>
      <c r="U22" s="45">
        <v>150</v>
      </c>
      <c r="V22" s="46">
        <f>(T22/$O$22)</f>
        <v>4.5555555555555557E-2</v>
      </c>
      <c r="W22" s="42">
        <v>103</v>
      </c>
      <c r="X22" s="45">
        <v>650</v>
      </c>
      <c r="Y22" s="46">
        <f>(W22/$O$22)</f>
        <v>5.7222222222222223E-2</v>
      </c>
      <c r="Z22" s="42">
        <v>621</v>
      </c>
      <c r="AA22" s="45">
        <v>600</v>
      </c>
      <c r="AB22" s="46">
        <f>(Z22/$O$22)</f>
        <v>0.34499999999999997</v>
      </c>
      <c r="AC22" s="42">
        <v>509</v>
      </c>
      <c r="AD22" s="45">
        <v>400</v>
      </c>
      <c r="AE22" s="46">
        <f>(AC22/$O$22)</f>
        <v>0.28277777777777779</v>
      </c>
      <c r="AF22" s="60">
        <f t="shared" ref="AF22:AF36" si="1">+V22+Y22+AB22+AE22</f>
        <v>0.73055555555555551</v>
      </c>
      <c r="AG22" s="169">
        <f>+(AF22+AF23+AF24+AF25+AF26+AF27+AF28)/7</f>
        <v>0.68065769398153841</v>
      </c>
      <c r="AH22" s="46" t="s">
        <v>109</v>
      </c>
      <c r="AI22" s="61" t="s">
        <v>110</v>
      </c>
      <c r="AJ22" s="65" t="s">
        <v>169</v>
      </c>
      <c r="AK22" s="67" t="s">
        <v>170</v>
      </c>
      <c r="AL22" s="52" t="s">
        <v>171</v>
      </c>
      <c r="AM22" s="71" t="s">
        <v>172</v>
      </c>
      <c r="AN22" s="138" t="s">
        <v>693</v>
      </c>
      <c r="AO22" s="147" t="s">
        <v>698</v>
      </c>
      <c r="AP22" s="145" t="s">
        <v>819</v>
      </c>
      <c r="AQ22" s="147" t="s">
        <v>820</v>
      </c>
      <c r="AR22" s="54"/>
    </row>
    <row r="23" spans="1:44" s="73" customFormat="1" ht="194.25" customHeight="1" thickBot="1" x14ac:dyDescent="0.25">
      <c r="A23" s="39">
        <v>13</v>
      </c>
      <c r="B23" s="40" t="s">
        <v>134</v>
      </c>
      <c r="C23" s="40" t="s">
        <v>135</v>
      </c>
      <c r="D23" s="41" t="s">
        <v>161</v>
      </c>
      <c r="E23" s="40" t="s">
        <v>162</v>
      </c>
      <c r="F23" s="40" t="s">
        <v>163</v>
      </c>
      <c r="G23" s="40" t="s">
        <v>173</v>
      </c>
      <c r="H23" s="40" t="s">
        <v>174</v>
      </c>
      <c r="I23" s="40" t="s">
        <v>175</v>
      </c>
      <c r="J23" s="40" t="s">
        <v>176</v>
      </c>
      <c r="K23" s="40" t="s">
        <v>66</v>
      </c>
      <c r="L23" s="40" t="s">
        <v>67</v>
      </c>
      <c r="M23" s="40" t="s">
        <v>71</v>
      </c>
      <c r="N23" s="40" t="s">
        <v>71</v>
      </c>
      <c r="O23" s="43">
        <v>0.95</v>
      </c>
      <c r="P23" s="43">
        <v>0.25</v>
      </c>
      <c r="Q23" s="40" t="s">
        <v>91</v>
      </c>
      <c r="R23" s="44">
        <v>45292</v>
      </c>
      <c r="S23" s="44">
        <v>45657</v>
      </c>
      <c r="T23" s="48">
        <v>1</v>
      </c>
      <c r="U23" s="48">
        <v>1</v>
      </c>
      <c r="V23" s="72">
        <f>+(T23/U23)*$P$23</f>
        <v>0.25</v>
      </c>
      <c r="W23" s="42">
        <v>4</v>
      </c>
      <c r="X23" s="48">
        <v>4</v>
      </c>
      <c r="Y23" s="72">
        <f>+(W23/X23)*P23</f>
        <v>0.25</v>
      </c>
      <c r="Z23" s="42">
        <v>15</v>
      </c>
      <c r="AA23" s="48">
        <v>20</v>
      </c>
      <c r="AB23" s="72">
        <f>+(Z23/AA23)*P23</f>
        <v>0.1875</v>
      </c>
      <c r="AC23" s="42">
        <v>11</v>
      </c>
      <c r="AD23" s="48">
        <v>32</v>
      </c>
      <c r="AE23" s="72">
        <f>+(AC23/AD23)*P23</f>
        <v>8.59375E-2</v>
      </c>
      <c r="AF23" s="60">
        <f t="shared" si="1"/>
        <v>0.7734375</v>
      </c>
      <c r="AG23" s="170"/>
      <c r="AH23" s="46" t="s">
        <v>109</v>
      </c>
      <c r="AI23" s="61" t="s">
        <v>110</v>
      </c>
      <c r="AJ23" s="65" t="s">
        <v>177</v>
      </c>
      <c r="AK23" s="67" t="s">
        <v>178</v>
      </c>
      <c r="AL23" s="52" t="s">
        <v>179</v>
      </c>
      <c r="AM23" s="71" t="s">
        <v>180</v>
      </c>
      <c r="AN23" s="150" t="s">
        <v>694</v>
      </c>
      <c r="AO23" s="147" t="s">
        <v>699</v>
      </c>
      <c r="AP23" s="145" t="s">
        <v>821</v>
      </c>
      <c r="AQ23" s="147" t="s">
        <v>822</v>
      </c>
      <c r="AR23" s="69"/>
    </row>
    <row r="24" spans="1:44" s="55" customFormat="1" ht="198" customHeight="1" thickBot="1" x14ac:dyDescent="0.25">
      <c r="A24" s="39">
        <v>14</v>
      </c>
      <c r="B24" s="40" t="s">
        <v>134</v>
      </c>
      <c r="C24" s="40" t="s">
        <v>135</v>
      </c>
      <c r="D24" s="41" t="s">
        <v>161</v>
      </c>
      <c r="E24" s="40" t="s">
        <v>162</v>
      </c>
      <c r="F24" s="40" t="s">
        <v>163</v>
      </c>
      <c r="G24" s="40" t="s">
        <v>181</v>
      </c>
      <c r="H24" s="40" t="s">
        <v>182</v>
      </c>
      <c r="I24" s="40" t="s">
        <v>183</v>
      </c>
      <c r="J24" s="40" t="s">
        <v>184</v>
      </c>
      <c r="K24" s="40" t="s">
        <v>66</v>
      </c>
      <c r="L24" s="40" t="s">
        <v>67</v>
      </c>
      <c r="M24" s="40" t="s">
        <v>71</v>
      </c>
      <c r="N24" s="40" t="s">
        <v>71</v>
      </c>
      <c r="O24" s="43">
        <v>0.95</v>
      </c>
      <c r="P24" s="43">
        <v>0.25</v>
      </c>
      <c r="Q24" s="40" t="s">
        <v>91</v>
      </c>
      <c r="R24" s="44">
        <v>45292</v>
      </c>
      <c r="S24" s="44">
        <v>45657</v>
      </c>
      <c r="T24" s="48">
        <v>75</v>
      </c>
      <c r="U24" s="48">
        <v>81</v>
      </c>
      <c r="V24" s="46">
        <f>+(T24/U24)*$P$24</f>
        <v>0.23148148148148148</v>
      </c>
      <c r="W24" s="42">
        <v>72</v>
      </c>
      <c r="X24" s="45">
        <v>99</v>
      </c>
      <c r="Y24" s="46">
        <f>+(W24/X24)*P24</f>
        <v>0.18181818181818182</v>
      </c>
      <c r="Z24" s="42">
        <v>311</v>
      </c>
      <c r="AA24" s="45">
        <v>601</v>
      </c>
      <c r="AB24" s="46">
        <f>+(Z24/AA24)*P24</f>
        <v>0.12936772046589018</v>
      </c>
      <c r="AC24" s="42">
        <v>219</v>
      </c>
      <c r="AD24" s="45">
        <v>477</v>
      </c>
      <c r="AE24" s="46">
        <f>+(AC24/AD24)*P24</f>
        <v>0.11477987421383648</v>
      </c>
      <c r="AF24" s="60">
        <f t="shared" si="1"/>
        <v>0.65744725797938997</v>
      </c>
      <c r="AG24" s="170"/>
      <c r="AH24" s="46" t="s">
        <v>109</v>
      </c>
      <c r="AI24" s="61" t="s">
        <v>110</v>
      </c>
      <c r="AJ24" s="65" t="s">
        <v>185</v>
      </c>
      <c r="AK24" s="67" t="s">
        <v>186</v>
      </c>
      <c r="AL24" s="52" t="s">
        <v>187</v>
      </c>
      <c r="AM24" s="71" t="s">
        <v>188</v>
      </c>
      <c r="AN24" s="150" t="s">
        <v>695</v>
      </c>
      <c r="AO24" s="147" t="s">
        <v>781</v>
      </c>
      <c r="AP24" s="145" t="s">
        <v>823</v>
      </c>
      <c r="AQ24" s="147" t="s">
        <v>824</v>
      </c>
      <c r="AR24" s="54"/>
    </row>
    <row r="25" spans="1:44" s="77" customFormat="1" ht="186" customHeight="1" thickBot="1" x14ac:dyDescent="0.25">
      <c r="A25" s="39">
        <v>15</v>
      </c>
      <c r="B25" s="40" t="s">
        <v>134</v>
      </c>
      <c r="C25" s="40" t="s">
        <v>135</v>
      </c>
      <c r="D25" s="41" t="s">
        <v>161</v>
      </c>
      <c r="E25" s="40" t="s">
        <v>189</v>
      </c>
      <c r="F25" s="40" t="s">
        <v>190</v>
      </c>
      <c r="G25" s="40" t="s">
        <v>191</v>
      </c>
      <c r="H25" s="40" t="s">
        <v>192</v>
      </c>
      <c r="I25" s="40" t="s">
        <v>193</v>
      </c>
      <c r="J25" s="40" t="s">
        <v>194</v>
      </c>
      <c r="K25" s="40" t="s">
        <v>66</v>
      </c>
      <c r="L25" s="40" t="s">
        <v>195</v>
      </c>
      <c r="M25" s="40">
        <v>0.255</v>
      </c>
      <c r="N25" s="40" t="s">
        <v>196</v>
      </c>
      <c r="O25" s="74" t="s">
        <v>197</v>
      </c>
      <c r="P25" s="43">
        <v>0.25</v>
      </c>
      <c r="Q25" s="40" t="s">
        <v>91</v>
      </c>
      <c r="R25" s="44">
        <v>45292</v>
      </c>
      <c r="S25" s="44">
        <v>45657</v>
      </c>
      <c r="T25" s="75">
        <v>0.27260000000000001</v>
      </c>
      <c r="U25" s="64">
        <v>0.24</v>
      </c>
      <c r="V25" s="46">
        <f>IF(T25&lt;=U25, 25%, MAX(0, 25% * (1 - ((T25 - U25) / U25))))</f>
        <v>0.21604166666666663</v>
      </c>
      <c r="W25" s="64">
        <v>0.308</v>
      </c>
      <c r="X25" s="64">
        <v>0.24</v>
      </c>
      <c r="Y25" s="46">
        <f>IF(W25&lt;=X25, 25%, MAX(0, 25% * (1 - ((W25 - X25) / X25))))</f>
        <v>0.17916666666666664</v>
      </c>
      <c r="Z25" s="64">
        <v>0.314</v>
      </c>
      <c r="AA25" s="64">
        <v>0.24</v>
      </c>
      <c r="AB25" s="46">
        <f>IF(Z25&lt;=AA25, 25%, MAX(0, 25% * (1 - ((Z25 - AA25) / AA25))))</f>
        <v>0.17291666666666666</v>
      </c>
      <c r="AC25" s="64">
        <v>0.312</v>
      </c>
      <c r="AD25" s="64">
        <v>0.24</v>
      </c>
      <c r="AE25" s="46">
        <f>IF(AC25&lt;=AD25, 25%, MAX(0, 25% * (1 - ((AC25 - AD25) / AD25))))</f>
        <v>0.17499999999999999</v>
      </c>
      <c r="AF25" s="60">
        <f t="shared" si="1"/>
        <v>0.74312500000000004</v>
      </c>
      <c r="AG25" s="170"/>
      <c r="AH25" s="46" t="s">
        <v>109</v>
      </c>
      <c r="AI25" s="61" t="s">
        <v>110</v>
      </c>
      <c r="AJ25" s="65" t="s">
        <v>198</v>
      </c>
      <c r="AK25" s="67" t="s">
        <v>199</v>
      </c>
      <c r="AL25" s="76" t="s">
        <v>200</v>
      </c>
      <c r="AM25" s="71" t="s">
        <v>201</v>
      </c>
      <c r="AN25" s="138" t="s">
        <v>700</v>
      </c>
      <c r="AO25" s="147" t="s">
        <v>704</v>
      </c>
      <c r="AP25" s="138" t="s">
        <v>825</v>
      </c>
      <c r="AQ25" s="147" t="s">
        <v>826</v>
      </c>
    </row>
    <row r="26" spans="1:44" s="69" customFormat="1" ht="181.5" customHeight="1" thickBot="1" x14ac:dyDescent="0.25">
      <c r="A26" s="39">
        <v>16</v>
      </c>
      <c r="B26" s="40" t="s">
        <v>134</v>
      </c>
      <c r="C26" s="40" t="s">
        <v>135</v>
      </c>
      <c r="D26" s="41" t="s">
        <v>161</v>
      </c>
      <c r="E26" s="40" t="s">
        <v>202</v>
      </c>
      <c r="F26" s="40" t="s">
        <v>203</v>
      </c>
      <c r="G26" s="40" t="s">
        <v>204</v>
      </c>
      <c r="H26" s="40" t="s">
        <v>205</v>
      </c>
      <c r="I26" s="40" t="s">
        <v>206</v>
      </c>
      <c r="J26" s="40" t="s">
        <v>207</v>
      </c>
      <c r="K26" s="40" t="s">
        <v>66</v>
      </c>
      <c r="L26" s="40" t="s">
        <v>195</v>
      </c>
      <c r="M26" s="40" t="s">
        <v>71</v>
      </c>
      <c r="N26" s="40" t="s">
        <v>71</v>
      </c>
      <c r="O26" s="43">
        <v>0.95</v>
      </c>
      <c r="P26" s="43">
        <v>0.25</v>
      </c>
      <c r="Q26" s="40" t="s">
        <v>91</v>
      </c>
      <c r="R26" s="44">
        <v>45292</v>
      </c>
      <c r="S26" s="44">
        <v>45657</v>
      </c>
      <c r="T26" s="78">
        <v>8241562426</v>
      </c>
      <c r="U26" s="78">
        <v>8279538860</v>
      </c>
      <c r="V26" s="46">
        <f>+(T26/U26)*$P$26</f>
        <v>0.2488533046754732</v>
      </c>
      <c r="W26" s="78">
        <v>9710815424.6700001</v>
      </c>
      <c r="X26" s="78">
        <v>9721860484.6700001</v>
      </c>
      <c r="Y26" s="46">
        <f>+(W26/X26)*P26</f>
        <v>0.24971597360357575</v>
      </c>
      <c r="Z26" s="78">
        <v>9517727211</v>
      </c>
      <c r="AA26" s="78">
        <v>9541108291</v>
      </c>
      <c r="AB26" s="46">
        <f>+(Z26/AA26)*P26</f>
        <v>0.24938735943228799</v>
      </c>
      <c r="AC26" s="78">
        <v>9851364663</v>
      </c>
      <c r="AD26" s="78">
        <v>9867867423</v>
      </c>
      <c r="AE26" s="46">
        <f>+(AC26/AD26)*P26</f>
        <v>0.24958190662448668</v>
      </c>
      <c r="AF26" s="60">
        <f t="shared" si="1"/>
        <v>0.99753854433582356</v>
      </c>
      <c r="AG26" s="170"/>
      <c r="AH26" s="46" t="s">
        <v>109</v>
      </c>
      <c r="AI26" s="61" t="s">
        <v>110</v>
      </c>
      <c r="AJ26" s="65" t="s">
        <v>208</v>
      </c>
      <c r="AK26" s="67" t="s">
        <v>209</v>
      </c>
      <c r="AL26" s="76" t="s">
        <v>210</v>
      </c>
      <c r="AM26" s="71" t="s">
        <v>211</v>
      </c>
      <c r="AN26" s="138" t="s">
        <v>701</v>
      </c>
      <c r="AO26" s="147" t="s">
        <v>705</v>
      </c>
      <c r="AP26" s="138" t="s">
        <v>827</v>
      </c>
      <c r="AQ26" s="147" t="s">
        <v>828</v>
      </c>
    </row>
    <row r="27" spans="1:44" s="73" customFormat="1" ht="159.75" customHeight="1" thickBot="1" x14ac:dyDescent="0.25">
      <c r="A27" s="39">
        <v>17</v>
      </c>
      <c r="B27" s="40" t="s">
        <v>134</v>
      </c>
      <c r="C27" s="40" t="s">
        <v>135</v>
      </c>
      <c r="D27" s="41" t="s">
        <v>161</v>
      </c>
      <c r="E27" s="40" t="s">
        <v>202</v>
      </c>
      <c r="F27" s="40" t="s">
        <v>203</v>
      </c>
      <c r="G27" s="40" t="s">
        <v>212</v>
      </c>
      <c r="H27" s="40" t="s">
        <v>213</v>
      </c>
      <c r="I27" s="40" t="s">
        <v>214</v>
      </c>
      <c r="J27" s="40" t="s">
        <v>215</v>
      </c>
      <c r="K27" s="40" t="s">
        <v>66</v>
      </c>
      <c r="L27" s="40" t="s">
        <v>195</v>
      </c>
      <c r="M27" s="40">
        <v>1.6</v>
      </c>
      <c r="N27" s="40" t="s">
        <v>196</v>
      </c>
      <c r="O27" s="74" t="s">
        <v>216</v>
      </c>
      <c r="P27" s="43">
        <v>0.25</v>
      </c>
      <c r="Q27" s="40" t="s">
        <v>91</v>
      </c>
      <c r="R27" s="44">
        <v>45292</v>
      </c>
      <c r="S27" s="44">
        <v>45657</v>
      </c>
      <c r="T27" s="79">
        <v>3.5000000000000003E-2</v>
      </c>
      <c r="U27" s="64">
        <v>0.02</v>
      </c>
      <c r="V27" s="46">
        <f>IF((IF(T27="",0%,IF(T27&lt;=U27,25%,(0.25-((T27-U27)*0.25)/0.02))))&lt;0,0,(IF(T27="",0%,IF(T27&lt;=U27,25%,(0.25-((T27-U27)*0.25)/0.02)))))</f>
        <v>6.2499999999999972E-2</v>
      </c>
      <c r="W27" s="80">
        <v>2.8000000000000001E-2</v>
      </c>
      <c r="X27" s="64">
        <v>0.02</v>
      </c>
      <c r="Y27" s="46">
        <f>IF((IF(W27="",0%,IF(W27&lt;=X27,25%,(0.25-((W27-X27)*0.25)/0.02))))&lt;0,0,(IF(W27="",0%,IF(W27&lt;=X27,25%,(0.25-((W27-X27)*0.25)/0.02)))))</f>
        <v>0.15</v>
      </c>
      <c r="Z27" s="80">
        <v>0.03</v>
      </c>
      <c r="AA27" s="64">
        <v>0.02</v>
      </c>
      <c r="AB27" s="46">
        <f>IF((IF(Z27="",0%,IF(Z27&lt;=AA27,25%,(0.25-((Z27-AA27)*0.25)/0.02))))&lt;0,0,(IF(Z27="",0%,IF(Z27&lt;=AA27,25%,(0.25-((Z27-AA27)*0.25)/0.02)))))</f>
        <v>0.12500000000000003</v>
      </c>
      <c r="AC27" s="80">
        <v>3.3000000000000002E-2</v>
      </c>
      <c r="AD27" s="64">
        <v>0.02</v>
      </c>
      <c r="AE27" s="46">
        <f>IF((IF(AC27="",0%,IF(AC27&lt;=AD27,25%,(0.25-((AC27-AD27)*0.25)/0.02))))&lt;0,0,(IF(AC27="",0%,IF(AC27&lt;=AD27,25%,(0.25-((AC27-AD27)*0.25)/0.02)))))</f>
        <v>8.7499999999999994E-2</v>
      </c>
      <c r="AF27" s="60">
        <f t="shared" si="1"/>
        <v>0.42500000000000004</v>
      </c>
      <c r="AG27" s="170"/>
      <c r="AH27" s="46" t="s">
        <v>109</v>
      </c>
      <c r="AI27" s="61" t="s">
        <v>110</v>
      </c>
      <c r="AJ27" s="65" t="s">
        <v>217</v>
      </c>
      <c r="AK27" s="67" t="s">
        <v>218</v>
      </c>
      <c r="AL27" s="76" t="s">
        <v>219</v>
      </c>
      <c r="AM27" s="71" t="s">
        <v>220</v>
      </c>
      <c r="AN27" s="138" t="s">
        <v>702</v>
      </c>
      <c r="AO27" s="147" t="s">
        <v>706</v>
      </c>
      <c r="AP27" s="138" t="s">
        <v>829</v>
      </c>
      <c r="AQ27" s="147" t="s">
        <v>830</v>
      </c>
      <c r="AR27" s="69"/>
    </row>
    <row r="28" spans="1:44" s="73" customFormat="1" ht="145.5" customHeight="1" thickBot="1" x14ac:dyDescent="0.25">
      <c r="A28" s="39">
        <v>18</v>
      </c>
      <c r="B28" s="40" t="s">
        <v>134</v>
      </c>
      <c r="C28" s="40" t="s">
        <v>135</v>
      </c>
      <c r="D28" s="41" t="s">
        <v>161</v>
      </c>
      <c r="E28" s="40" t="s">
        <v>202</v>
      </c>
      <c r="F28" s="40" t="s">
        <v>203</v>
      </c>
      <c r="G28" s="40" t="s">
        <v>221</v>
      </c>
      <c r="H28" s="40" t="s">
        <v>222</v>
      </c>
      <c r="I28" s="40" t="s">
        <v>223</v>
      </c>
      <c r="J28" s="40" t="s">
        <v>224</v>
      </c>
      <c r="K28" s="40" t="s">
        <v>66</v>
      </c>
      <c r="L28" s="40" t="s">
        <v>195</v>
      </c>
      <c r="M28" s="40">
        <v>2</v>
      </c>
      <c r="N28" s="40" t="s">
        <v>196</v>
      </c>
      <c r="O28" s="74" t="s">
        <v>216</v>
      </c>
      <c r="P28" s="43">
        <v>0.25</v>
      </c>
      <c r="Q28" s="40" t="s">
        <v>91</v>
      </c>
      <c r="R28" s="44">
        <v>45292</v>
      </c>
      <c r="S28" s="44">
        <v>45657</v>
      </c>
      <c r="T28" s="79">
        <v>3.5999999999999997E-2</v>
      </c>
      <c r="U28" s="64">
        <v>0.02</v>
      </c>
      <c r="V28" s="46">
        <f>IF((IF(T28="",0%,IF(T28&lt;=U28,25%,(0.25-((T28-U28)*0.25)/0.02))))&lt;0,0,(IF(T28="",0%,IF(T28&lt;=U28,25%,(0.25-((T28-U28)*0.25)/0.02)))))</f>
        <v>5.0000000000000044E-2</v>
      </c>
      <c r="W28" s="80">
        <v>4.2999999999999997E-2</v>
      </c>
      <c r="X28" s="64">
        <v>0.02</v>
      </c>
      <c r="Y28" s="46">
        <f>IF((IF(W28="",0%,IF(W28&lt;=X28,25%,(0.25-((W28-X28)*0.25)/0.02))))&lt;0,0,(IF(W28="",0%,IF(W28&lt;=X28,25%,(0.25-((W28-X28)*0.25)/0.02)))))</f>
        <v>0</v>
      </c>
      <c r="Z28" s="80">
        <v>2.8000000000000001E-2</v>
      </c>
      <c r="AA28" s="64">
        <v>0.02</v>
      </c>
      <c r="AB28" s="46">
        <f>IF((IF(Z28="",0%,IF(Z28&lt;=AA28,25%,(0.25-((Z28-AA28)*0.25)/0.02))))&lt;0,0,(IF(Z28="",0%,IF(Z28&lt;=AA28,25%,(0.25-((Z28-AA28)*0.25)/0.02)))))</f>
        <v>0.15</v>
      </c>
      <c r="AC28" s="80">
        <v>2.1000000000000001E-2</v>
      </c>
      <c r="AD28" s="64">
        <v>0.02</v>
      </c>
      <c r="AE28" s="46">
        <f>IF((IF(AC28="",0%,IF(AC28&lt;=AD28,25%,(0.25-((AC28-AD28)*0.25)/0.02))))&lt;0,0,(IF(AC28="",0%,IF(AC28&lt;=AD28,25%,(0.25-((AC28-AD28)*0.25)/0.02)))))</f>
        <v>0.23749999999999999</v>
      </c>
      <c r="AF28" s="60">
        <f t="shared" si="1"/>
        <v>0.4375</v>
      </c>
      <c r="AG28" s="168"/>
      <c r="AH28" s="46" t="s">
        <v>109</v>
      </c>
      <c r="AI28" s="61" t="s">
        <v>110</v>
      </c>
      <c r="AJ28" s="65" t="s">
        <v>225</v>
      </c>
      <c r="AK28" s="67" t="s">
        <v>226</v>
      </c>
      <c r="AL28" s="76" t="s">
        <v>227</v>
      </c>
      <c r="AM28" s="71" t="s">
        <v>228</v>
      </c>
      <c r="AN28" s="138" t="s">
        <v>703</v>
      </c>
      <c r="AO28" s="147" t="s">
        <v>707</v>
      </c>
      <c r="AP28" s="138" t="s">
        <v>831</v>
      </c>
      <c r="AQ28" s="147" t="s">
        <v>832</v>
      </c>
      <c r="AR28" s="69"/>
    </row>
    <row r="29" spans="1:44" s="54" customFormat="1" ht="204.75" customHeight="1" thickBot="1" x14ac:dyDescent="0.25">
      <c r="A29" s="39">
        <v>19</v>
      </c>
      <c r="B29" s="40" t="s">
        <v>229</v>
      </c>
      <c r="C29" s="40" t="s">
        <v>230</v>
      </c>
      <c r="D29" s="41" t="s">
        <v>231</v>
      </c>
      <c r="E29" s="40" t="s">
        <v>232</v>
      </c>
      <c r="F29" s="40" t="s">
        <v>233</v>
      </c>
      <c r="G29" s="40" t="s">
        <v>234</v>
      </c>
      <c r="H29" s="40" t="s">
        <v>235</v>
      </c>
      <c r="I29" s="40" t="s">
        <v>236</v>
      </c>
      <c r="J29" s="40" t="s">
        <v>237</v>
      </c>
      <c r="K29" s="40" t="s">
        <v>66</v>
      </c>
      <c r="L29" s="40" t="s">
        <v>90</v>
      </c>
      <c r="M29" s="40" t="s">
        <v>71</v>
      </c>
      <c r="N29" s="40" t="s">
        <v>71</v>
      </c>
      <c r="O29" s="42">
        <v>1</v>
      </c>
      <c r="P29" s="43">
        <v>0.25</v>
      </c>
      <c r="Q29" s="40" t="s">
        <v>91</v>
      </c>
      <c r="R29" s="44">
        <v>45292</v>
      </c>
      <c r="S29" s="44">
        <v>45657</v>
      </c>
      <c r="T29" s="42">
        <v>7</v>
      </c>
      <c r="U29" s="45">
        <v>14</v>
      </c>
      <c r="V29" s="46">
        <f>IFERROR((T29/U29)*25%,0)</f>
        <v>0.125</v>
      </c>
      <c r="W29" s="42">
        <v>2</v>
      </c>
      <c r="X29" s="45">
        <v>9</v>
      </c>
      <c r="Y29" s="46">
        <f>IFERROR((W29/X29)*25%,0)</f>
        <v>5.5555555555555552E-2</v>
      </c>
      <c r="Z29" s="42">
        <v>12</v>
      </c>
      <c r="AA29" s="45">
        <v>14</v>
      </c>
      <c r="AB29" s="46">
        <f>IFERROR((Z29/AA29)*25%,0)</f>
        <v>0.21428571428571427</v>
      </c>
      <c r="AC29" s="42">
        <v>5</v>
      </c>
      <c r="AD29" s="45">
        <v>6</v>
      </c>
      <c r="AE29" s="46">
        <f>IFERROR((AC29/AD29)*25%,0)</f>
        <v>0.20833333333333334</v>
      </c>
      <c r="AF29" s="60">
        <f t="shared" si="1"/>
        <v>0.60317460317460314</v>
      </c>
      <c r="AG29" s="166">
        <f>+(AF29+AF30+AF31)/3</f>
        <v>0.78439153439153431</v>
      </c>
      <c r="AH29" s="46" t="s">
        <v>238</v>
      </c>
      <c r="AI29" s="61" t="s">
        <v>239</v>
      </c>
      <c r="AJ29" s="65" t="s">
        <v>240</v>
      </c>
      <c r="AK29" s="67" t="s">
        <v>241</v>
      </c>
      <c r="AL29" s="52" t="s">
        <v>242</v>
      </c>
      <c r="AM29" s="81" t="s">
        <v>243</v>
      </c>
      <c r="AN29" s="52" t="s">
        <v>708</v>
      </c>
      <c r="AO29" s="147" t="s">
        <v>711</v>
      </c>
      <c r="AP29" s="52" t="s">
        <v>833</v>
      </c>
      <c r="AQ29" s="147" t="s">
        <v>834</v>
      </c>
    </row>
    <row r="30" spans="1:44" s="54" customFormat="1" ht="147" customHeight="1" thickBot="1" x14ac:dyDescent="0.25">
      <c r="A30" s="39">
        <v>20</v>
      </c>
      <c r="B30" s="40" t="s">
        <v>229</v>
      </c>
      <c r="C30" s="40" t="s">
        <v>230</v>
      </c>
      <c r="D30" s="41" t="s">
        <v>231</v>
      </c>
      <c r="E30" s="40" t="s">
        <v>232</v>
      </c>
      <c r="F30" s="40" t="s">
        <v>233</v>
      </c>
      <c r="G30" s="40" t="s">
        <v>244</v>
      </c>
      <c r="H30" s="40" t="s">
        <v>245</v>
      </c>
      <c r="I30" s="40" t="s">
        <v>246</v>
      </c>
      <c r="J30" s="40" t="s">
        <v>247</v>
      </c>
      <c r="K30" s="40" t="s">
        <v>80</v>
      </c>
      <c r="L30" s="40" t="s">
        <v>90</v>
      </c>
      <c r="M30" s="40">
        <v>3</v>
      </c>
      <c r="N30" s="40" t="s">
        <v>248</v>
      </c>
      <c r="O30" s="42">
        <v>1</v>
      </c>
      <c r="P30" s="43">
        <v>0.33</v>
      </c>
      <c r="Q30" s="40" t="s">
        <v>91</v>
      </c>
      <c r="R30" s="44">
        <v>45292</v>
      </c>
      <c r="S30" s="44">
        <v>45657</v>
      </c>
      <c r="T30" s="42">
        <v>3</v>
      </c>
      <c r="U30" s="45">
        <v>3</v>
      </c>
      <c r="V30" s="46">
        <f>+(T30/U30)*25%</f>
        <v>0.25</v>
      </c>
      <c r="W30" s="42">
        <v>2</v>
      </c>
      <c r="X30" s="45">
        <v>3</v>
      </c>
      <c r="Y30" s="46">
        <f>+(W30/X30)*25%</f>
        <v>0.16666666666666666</v>
      </c>
      <c r="Z30" s="42">
        <v>3</v>
      </c>
      <c r="AA30" s="45">
        <v>3</v>
      </c>
      <c r="AB30" s="46">
        <f>+(Z30/AA30)*25%</f>
        <v>0.25</v>
      </c>
      <c r="AC30" s="42">
        <v>3</v>
      </c>
      <c r="AD30" s="45">
        <v>3</v>
      </c>
      <c r="AE30" s="46">
        <f>+(AC30/AD30)*25%</f>
        <v>0.25</v>
      </c>
      <c r="AF30" s="60">
        <f t="shared" si="1"/>
        <v>0.91666666666666663</v>
      </c>
      <c r="AG30" s="166"/>
      <c r="AH30" s="46" t="s">
        <v>238</v>
      </c>
      <c r="AI30" s="61" t="s">
        <v>239</v>
      </c>
      <c r="AJ30" s="65" t="s">
        <v>249</v>
      </c>
      <c r="AK30" s="67" t="s">
        <v>250</v>
      </c>
      <c r="AL30" s="65" t="s">
        <v>251</v>
      </c>
      <c r="AM30" s="81" t="s">
        <v>252</v>
      </c>
      <c r="AN30" s="52" t="s">
        <v>709</v>
      </c>
      <c r="AO30" s="147" t="s">
        <v>782</v>
      </c>
      <c r="AP30" s="52" t="s">
        <v>835</v>
      </c>
      <c r="AQ30" s="147" t="s">
        <v>836</v>
      </c>
    </row>
    <row r="31" spans="1:44" s="54" customFormat="1" ht="167.25" customHeight="1" thickBot="1" x14ac:dyDescent="0.25">
      <c r="A31" s="39">
        <v>21</v>
      </c>
      <c r="B31" s="40" t="s">
        <v>229</v>
      </c>
      <c r="C31" s="40" t="s">
        <v>230</v>
      </c>
      <c r="D31" s="41" t="s">
        <v>231</v>
      </c>
      <c r="E31" s="40" t="s">
        <v>232</v>
      </c>
      <c r="F31" s="40" t="s">
        <v>233</v>
      </c>
      <c r="G31" s="40" t="s">
        <v>253</v>
      </c>
      <c r="H31" s="40" t="s">
        <v>254</v>
      </c>
      <c r="I31" s="40" t="s">
        <v>255</v>
      </c>
      <c r="J31" s="40" t="s">
        <v>256</v>
      </c>
      <c r="K31" s="40" t="s">
        <v>66</v>
      </c>
      <c r="L31" s="40" t="s">
        <v>90</v>
      </c>
      <c r="M31" s="40" t="s">
        <v>71</v>
      </c>
      <c r="N31" s="40" t="s">
        <v>71</v>
      </c>
      <c r="O31" s="42">
        <v>1</v>
      </c>
      <c r="P31" s="43">
        <v>0.25</v>
      </c>
      <c r="Q31" s="40" t="s">
        <v>91</v>
      </c>
      <c r="R31" s="44">
        <v>45292</v>
      </c>
      <c r="S31" s="44">
        <v>45657</v>
      </c>
      <c r="T31" s="42">
        <v>2</v>
      </c>
      <c r="U31" s="45">
        <v>3</v>
      </c>
      <c r="V31" s="46">
        <f>IFERROR((T31/U31)*$P$31,0)</f>
        <v>0.16666666666666666</v>
      </c>
      <c r="W31" s="42">
        <v>2</v>
      </c>
      <c r="X31" s="45">
        <v>3</v>
      </c>
      <c r="Y31" s="46">
        <f>IFERROR((W31/X31)*$P$31,0)</f>
        <v>0.16666666666666666</v>
      </c>
      <c r="Z31" s="42">
        <v>14</v>
      </c>
      <c r="AA31" s="45">
        <v>14</v>
      </c>
      <c r="AB31" s="46">
        <f>IFERROR((Z31/AA31)*$P$31,0)</f>
        <v>0.25</v>
      </c>
      <c r="AC31" s="42">
        <v>104</v>
      </c>
      <c r="AD31" s="45">
        <v>104</v>
      </c>
      <c r="AE31" s="46">
        <f>IFERROR((AC31/AD31)*$P$31,0)</f>
        <v>0.25</v>
      </c>
      <c r="AF31" s="60">
        <f t="shared" si="1"/>
        <v>0.83333333333333326</v>
      </c>
      <c r="AG31" s="166"/>
      <c r="AH31" s="46" t="s">
        <v>238</v>
      </c>
      <c r="AI31" s="61" t="s">
        <v>239</v>
      </c>
      <c r="AJ31" s="65" t="s">
        <v>257</v>
      </c>
      <c r="AK31" s="67" t="s">
        <v>258</v>
      </c>
      <c r="AL31" s="52" t="s">
        <v>259</v>
      </c>
      <c r="AM31" s="53" t="s">
        <v>689</v>
      </c>
      <c r="AN31" s="52" t="s">
        <v>710</v>
      </c>
      <c r="AO31" s="147" t="s">
        <v>712</v>
      </c>
      <c r="AP31" s="52" t="s">
        <v>837</v>
      </c>
      <c r="AQ31" s="147" t="s">
        <v>838</v>
      </c>
    </row>
    <row r="32" spans="1:44" s="55" customFormat="1" ht="139.5" customHeight="1" thickBot="1" x14ac:dyDescent="0.25">
      <c r="A32" s="39">
        <v>22</v>
      </c>
      <c r="B32" s="40" t="s">
        <v>260</v>
      </c>
      <c r="C32" s="40" t="s">
        <v>58</v>
      </c>
      <c r="D32" s="41" t="s">
        <v>261</v>
      </c>
      <c r="E32" s="40" t="s">
        <v>262</v>
      </c>
      <c r="F32" s="40" t="s">
        <v>263</v>
      </c>
      <c r="G32" s="40" t="s">
        <v>264</v>
      </c>
      <c r="H32" s="40" t="s">
        <v>265</v>
      </c>
      <c r="I32" s="40" t="s">
        <v>266</v>
      </c>
      <c r="J32" s="40" t="s">
        <v>267</v>
      </c>
      <c r="K32" s="40" t="s">
        <v>80</v>
      </c>
      <c r="L32" s="40" t="s">
        <v>90</v>
      </c>
      <c r="M32" s="40" t="s">
        <v>71</v>
      </c>
      <c r="N32" s="40" t="s">
        <v>71</v>
      </c>
      <c r="O32" s="42">
        <v>1</v>
      </c>
      <c r="P32" s="43" t="s">
        <v>125</v>
      </c>
      <c r="Q32" s="40" t="s">
        <v>268</v>
      </c>
      <c r="R32" s="44">
        <v>45292</v>
      </c>
      <c r="S32" s="44">
        <v>45657</v>
      </c>
      <c r="T32" s="42">
        <v>1</v>
      </c>
      <c r="U32" s="45">
        <v>1</v>
      </c>
      <c r="V32" s="46">
        <f>+(T32/U32)*10%</f>
        <v>0.1</v>
      </c>
      <c r="W32" s="42">
        <v>16</v>
      </c>
      <c r="X32" s="45">
        <v>16</v>
      </c>
      <c r="Y32" s="46">
        <f>IFERROR((W32/X32)*30%,0)</f>
        <v>0.3</v>
      </c>
      <c r="Z32" s="42">
        <v>36</v>
      </c>
      <c r="AA32" s="45">
        <v>36</v>
      </c>
      <c r="AB32" s="46">
        <f>IFERROR((Z32/AA32)*30%,0)</f>
        <v>0.3</v>
      </c>
      <c r="AC32" s="42">
        <v>22</v>
      </c>
      <c r="AD32" s="45">
        <v>22</v>
      </c>
      <c r="AE32" s="46">
        <f>IFERROR((AC32/AD32)*30%,0)</f>
        <v>0.3</v>
      </c>
      <c r="AF32" s="60">
        <f t="shared" si="1"/>
        <v>1</v>
      </c>
      <c r="AG32" s="166">
        <f>SUM(AF32:AF36)/5</f>
        <v>0.91665176928334824</v>
      </c>
      <c r="AH32" s="46" t="s">
        <v>269</v>
      </c>
      <c r="AI32" s="61" t="s">
        <v>270</v>
      </c>
      <c r="AJ32" s="65" t="s">
        <v>271</v>
      </c>
      <c r="AK32" s="67" t="s">
        <v>272</v>
      </c>
      <c r="AL32" s="52" t="s">
        <v>273</v>
      </c>
      <c r="AM32" s="53" t="s">
        <v>661</v>
      </c>
      <c r="AN32" s="149" t="s">
        <v>726</v>
      </c>
      <c r="AO32" s="147" t="s">
        <v>729</v>
      </c>
      <c r="AP32" s="52" t="s">
        <v>726</v>
      </c>
      <c r="AQ32" s="147" t="s">
        <v>839</v>
      </c>
      <c r="AR32" s="54"/>
    </row>
    <row r="33" spans="1:44" s="55" customFormat="1" ht="168" customHeight="1" thickBot="1" x14ac:dyDescent="0.25">
      <c r="A33" s="39">
        <v>23</v>
      </c>
      <c r="B33" s="40" t="s">
        <v>260</v>
      </c>
      <c r="C33" s="40" t="s">
        <v>58</v>
      </c>
      <c r="D33" s="41" t="s">
        <v>261</v>
      </c>
      <c r="E33" s="40" t="s">
        <v>262</v>
      </c>
      <c r="F33" s="40" t="s">
        <v>263</v>
      </c>
      <c r="G33" s="40" t="s">
        <v>274</v>
      </c>
      <c r="H33" s="40" t="s">
        <v>275</v>
      </c>
      <c r="I33" s="40" t="s">
        <v>276</v>
      </c>
      <c r="J33" s="40" t="s">
        <v>277</v>
      </c>
      <c r="K33" s="40" t="s">
        <v>80</v>
      </c>
      <c r="L33" s="40" t="s">
        <v>90</v>
      </c>
      <c r="M33" s="40" t="s">
        <v>71</v>
      </c>
      <c r="N33" s="40" t="s">
        <v>71</v>
      </c>
      <c r="O33" s="42">
        <v>1</v>
      </c>
      <c r="P33" s="43">
        <v>0.25</v>
      </c>
      <c r="Q33" s="40" t="s">
        <v>268</v>
      </c>
      <c r="R33" s="44">
        <v>45292</v>
      </c>
      <c r="S33" s="44">
        <v>45657</v>
      </c>
      <c r="T33" s="42">
        <v>28</v>
      </c>
      <c r="U33" s="45">
        <v>28</v>
      </c>
      <c r="V33" s="46">
        <f>IFERROR((T33/U33)*25%,0)</f>
        <v>0.25</v>
      </c>
      <c r="W33" s="42">
        <v>47</v>
      </c>
      <c r="X33" s="45">
        <v>47</v>
      </c>
      <c r="Y33" s="46">
        <f>IFERROR((W33/X33)*25%,0)</f>
        <v>0.25</v>
      </c>
      <c r="Z33" s="42">
        <v>41</v>
      </c>
      <c r="AA33" s="45">
        <v>41</v>
      </c>
      <c r="AB33" s="46">
        <f>IFERROR((Z33/AA33)*25%,0)</f>
        <v>0.25</v>
      </c>
      <c r="AC33" s="42">
        <v>59</v>
      </c>
      <c r="AD33" s="45">
        <v>59</v>
      </c>
      <c r="AE33" s="46">
        <f>IFERROR((AC33/AD33)*25%,0)</f>
        <v>0.25</v>
      </c>
      <c r="AF33" s="60">
        <f t="shared" si="1"/>
        <v>1</v>
      </c>
      <c r="AG33" s="166"/>
      <c r="AH33" s="46" t="s">
        <v>269</v>
      </c>
      <c r="AI33" s="61" t="s">
        <v>270</v>
      </c>
      <c r="AJ33" s="65" t="s">
        <v>278</v>
      </c>
      <c r="AK33" s="67" t="s">
        <v>279</v>
      </c>
      <c r="AL33" s="52" t="s">
        <v>634</v>
      </c>
      <c r="AM33" s="53" t="s">
        <v>635</v>
      </c>
      <c r="AN33" s="149" t="s">
        <v>727</v>
      </c>
      <c r="AO33" s="147" t="s">
        <v>730</v>
      </c>
      <c r="AP33" s="52" t="s">
        <v>840</v>
      </c>
      <c r="AQ33" s="147" t="s">
        <v>841</v>
      </c>
      <c r="AR33" s="54"/>
    </row>
    <row r="34" spans="1:44" s="55" customFormat="1" ht="185.25" customHeight="1" thickBot="1" x14ac:dyDescent="0.25">
      <c r="A34" s="39">
        <v>24</v>
      </c>
      <c r="B34" s="40" t="s">
        <v>260</v>
      </c>
      <c r="C34" s="40" t="s">
        <v>58</v>
      </c>
      <c r="D34" s="41" t="s">
        <v>261</v>
      </c>
      <c r="E34" s="40" t="s">
        <v>262</v>
      </c>
      <c r="F34" s="40" t="s">
        <v>280</v>
      </c>
      <c r="G34" s="40" t="s">
        <v>281</v>
      </c>
      <c r="H34" s="40" t="s">
        <v>282</v>
      </c>
      <c r="I34" s="40" t="s">
        <v>283</v>
      </c>
      <c r="J34" s="40" t="s">
        <v>284</v>
      </c>
      <c r="K34" s="40" t="s">
        <v>80</v>
      </c>
      <c r="L34" s="40" t="s">
        <v>90</v>
      </c>
      <c r="M34" s="40" t="s">
        <v>71</v>
      </c>
      <c r="N34" s="40" t="s">
        <v>71</v>
      </c>
      <c r="O34" s="42">
        <v>1</v>
      </c>
      <c r="P34" s="43">
        <v>0.25</v>
      </c>
      <c r="Q34" s="40" t="s">
        <v>70</v>
      </c>
      <c r="R34" s="44">
        <v>45292</v>
      </c>
      <c r="S34" s="44">
        <v>45657</v>
      </c>
      <c r="T34" s="42">
        <v>1</v>
      </c>
      <c r="U34" s="45">
        <v>1</v>
      </c>
      <c r="V34" s="46">
        <f>IFERROR((T34/U34)*25%,0)</f>
        <v>0.25</v>
      </c>
      <c r="W34" s="42">
        <v>1</v>
      </c>
      <c r="X34" s="45">
        <v>1</v>
      </c>
      <c r="Y34" s="46">
        <f>IFERROR((W34/X34)*25%,0)</f>
        <v>0.25</v>
      </c>
      <c r="Z34" s="42">
        <v>1</v>
      </c>
      <c r="AA34" s="45">
        <v>1</v>
      </c>
      <c r="AB34" s="46">
        <f>IFERROR((Z34/AA34)*25%,0)</f>
        <v>0.25</v>
      </c>
      <c r="AC34" s="42">
        <v>1</v>
      </c>
      <c r="AD34" s="45">
        <v>1</v>
      </c>
      <c r="AE34" s="46">
        <f>IFERROR((AC34/AD34)*25%,0)</f>
        <v>0.25</v>
      </c>
      <c r="AF34" s="60">
        <f t="shared" si="1"/>
        <v>1</v>
      </c>
      <c r="AG34" s="166"/>
      <c r="AH34" s="46" t="s">
        <v>269</v>
      </c>
      <c r="AI34" s="61" t="s">
        <v>270</v>
      </c>
      <c r="AJ34" s="65" t="s">
        <v>285</v>
      </c>
      <c r="AK34" s="67" t="s">
        <v>286</v>
      </c>
      <c r="AL34" s="52" t="s">
        <v>287</v>
      </c>
      <c r="AM34" s="71" t="s">
        <v>636</v>
      </c>
      <c r="AN34" s="149" t="s">
        <v>728</v>
      </c>
      <c r="AO34" s="147" t="s">
        <v>731</v>
      </c>
      <c r="AP34" s="149" t="s">
        <v>842</v>
      </c>
      <c r="AQ34" s="147" t="s">
        <v>843</v>
      </c>
      <c r="AR34" s="54"/>
    </row>
    <row r="35" spans="1:44" s="55" customFormat="1" ht="209.25" customHeight="1" thickBot="1" x14ac:dyDescent="0.25">
      <c r="A35" s="39">
        <v>25</v>
      </c>
      <c r="B35" s="40" t="s">
        <v>260</v>
      </c>
      <c r="C35" s="40" t="s">
        <v>58</v>
      </c>
      <c r="D35" s="41" t="s">
        <v>261</v>
      </c>
      <c r="E35" s="40" t="s">
        <v>262</v>
      </c>
      <c r="F35" s="40" t="s">
        <v>288</v>
      </c>
      <c r="G35" s="40" t="s">
        <v>289</v>
      </c>
      <c r="H35" s="40" t="s">
        <v>290</v>
      </c>
      <c r="I35" s="40" t="s">
        <v>291</v>
      </c>
      <c r="J35" s="40" t="s">
        <v>292</v>
      </c>
      <c r="K35" s="40" t="s">
        <v>80</v>
      </c>
      <c r="L35" s="40" t="s">
        <v>90</v>
      </c>
      <c r="M35" s="40" t="s">
        <v>71</v>
      </c>
      <c r="N35" s="40" t="s">
        <v>71</v>
      </c>
      <c r="O35" s="42">
        <v>0.95</v>
      </c>
      <c r="P35" s="43">
        <v>0.25</v>
      </c>
      <c r="Q35" s="40" t="s">
        <v>91</v>
      </c>
      <c r="R35" s="44">
        <v>45292</v>
      </c>
      <c r="S35" s="44">
        <v>45657</v>
      </c>
      <c r="T35" s="42">
        <v>5</v>
      </c>
      <c r="U35" s="45">
        <v>5</v>
      </c>
      <c r="V35" s="46">
        <f>IFERROR((T35/U35)*25%,0)</f>
        <v>0.25</v>
      </c>
      <c r="W35" s="42">
        <v>10</v>
      </c>
      <c r="X35" s="45">
        <v>11</v>
      </c>
      <c r="Y35" s="46">
        <f>IFERROR((W35/X35)*25%,0)</f>
        <v>0.22727272727272727</v>
      </c>
      <c r="Z35" s="42">
        <v>6</v>
      </c>
      <c r="AA35" s="45">
        <v>13</v>
      </c>
      <c r="AB35" s="46">
        <f>IFERROR((Z35/AA35)*25%,0)</f>
        <v>0.11538461538461539</v>
      </c>
      <c r="AC35" s="42">
        <v>2</v>
      </c>
      <c r="AD35" s="45">
        <v>19</v>
      </c>
      <c r="AE35" s="46">
        <f>IFERROR((AC35/AD35)*25%,0)</f>
        <v>2.6315789473684209E-2</v>
      </c>
      <c r="AF35" s="60">
        <f t="shared" si="1"/>
        <v>0.61897313213102689</v>
      </c>
      <c r="AG35" s="166"/>
      <c r="AH35" s="46" t="s">
        <v>269</v>
      </c>
      <c r="AI35" s="61" t="s">
        <v>270</v>
      </c>
      <c r="AJ35" s="65" t="s">
        <v>293</v>
      </c>
      <c r="AK35" s="67" t="s">
        <v>294</v>
      </c>
      <c r="AL35" s="52" t="s">
        <v>295</v>
      </c>
      <c r="AM35" s="53" t="s">
        <v>637</v>
      </c>
      <c r="AN35" s="149" t="s">
        <v>733</v>
      </c>
      <c r="AO35" s="147" t="s">
        <v>732</v>
      </c>
      <c r="AP35" s="149" t="s">
        <v>844</v>
      </c>
      <c r="AQ35" s="147" t="s">
        <v>845</v>
      </c>
      <c r="AR35" s="54"/>
    </row>
    <row r="36" spans="1:44" s="54" customFormat="1" ht="330" customHeight="1" thickBot="1" x14ac:dyDescent="0.25">
      <c r="A36" s="39">
        <v>26</v>
      </c>
      <c r="B36" s="40" t="s">
        <v>260</v>
      </c>
      <c r="C36" s="40" t="s">
        <v>58</v>
      </c>
      <c r="D36" s="41" t="s">
        <v>261</v>
      </c>
      <c r="E36" s="40" t="s">
        <v>296</v>
      </c>
      <c r="F36" s="40" t="s">
        <v>297</v>
      </c>
      <c r="G36" s="40" t="s">
        <v>298</v>
      </c>
      <c r="H36" s="40" t="s">
        <v>299</v>
      </c>
      <c r="I36" s="40" t="s">
        <v>300</v>
      </c>
      <c r="J36" s="40" t="s">
        <v>301</v>
      </c>
      <c r="K36" s="40" t="s">
        <v>80</v>
      </c>
      <c r="L36" s="40" t="s">
        <v>90</v>
      </c>
      <c r="M36" s="40" t="s">
        <v>71</v>
      </c>
      <c r="N36" s="40" t="s">
        <v>71</v>
      </c>
      <c r="O36" s="42">
        <v>0.95</v>
      </c>
      <c r="P36" s="43">
        <v>0.25</v>
      </c>
      <c r="Q36" s="40" t="s">
        <v>91</v>
      </c>
      <c r="R36" s="44">
        <v>45292</v>
      </c>
      <c r="S36" s="44">
        <v>45657</v>
      </c>
      <c r="T36" s="42">
        <v>3</v>
      </c>
      <c r="U36" s="45">
        <v>3</v>
      </c>
      <c r="V36" s="46">
        <f>IFERROR((T36/U36)*25%,0)</f>
        <v>0.25</v>
      </c>
      <c r="W36" s="42">
        <v>6</v>
      </c>
      <c r="X36" s="45">
        <v>6</v>
      </c>
      <c r="Y36" s="46">
        <f>IFERROR((W36/X36)*25%,0)</f>
        <v>0.25</v>
      </c>
      <c r="Z36" s="42">
        <v>6</v>
      </c>
      <c r="AA36" s="45">
        <v>7</v>
      </c>
      <c r="AB36" s="46">
        <f>IFERROR((Z36/AA36)*25%,0)</f>
        <v>0.21428571428571427</v>
      </c>
      <c r="AC36" s="42">
        <v>4</v>
      </c>
      <c r="AD36" s="45">
        <v>4</v>
      </c>
      <c r="AE36" s="46">
        <f>IFERROR((AC36/AD36)*25%,0)</f>
        <v>0.25</v>
      </c>
      <c r="AF36" s="60">
        <f t="shared" si="1"/>
        <v>0.9642857142857143</v>
      </c>
      <c r="AG36" s="166"/>
      <c r="AH36" s="46" t="s">
        <v>269</v>
      </c>
      <c r="AI36" s="61" t="s">
        <v>270</v>
      </c>
      <c r="AJ36" s="65" t="s">
        <v>302</v>
      </c>
      <c r="AK36" s="67" t="s">
        <v>303</v>
      </c>
      <c r="AL36" s="52" t="s">
        <v>304</v>
      </c>
      <c r="AM36" s="53" t="s">
        <v>638</v>
      </c>
      <c r="AN36" s="52" t="s">
        <v>713</v>
      </c>
      <c r="AO36" s="147" t="s">
        <v>734</v>
      </c>
      <c r="AP36" s="150" t="s">
        <v>846</v>
      </c>
      <c r="AQ36" s="147" t="s">
        <v>847</v>
      </c>
    </row>
    <row r="37" spans="1:44" s="54" customFormat="1" ht="230.25" customHeight="1" thickBot="1" x14ac:dyDescent="0.25">
      <c r="A37" s="39">
        <v>27</v>
      </c>
      <c r="B37" s="40" t="s">
        <v>305</v>
      </c>
      <c r="C37" s="40" t="s">
        <v>306</v>
      </c>
      <c r="D37" s="41" t="s">
        <v>307</v>
      </c>
      <c r="E37" s="40" t="s">
        <v>308</v>
      </c>
      <c r="F37" s="40" t="s">
        <v>309</v>
      </c>
      <c r="G37" s="40" t="s">
        <v>310</v>
      </c>
      <c r="H37" s="40" t="s">
        <v>311</v>
      </c>
      <c r="I37" s="40" t="s">
        <v>312</v>
      </c>
      <c r="J37" s="40" t="s">
        <v>313</v>
      </c>
      <c r="K37" s="40" t="s">
        <v>80</v>
      </c>
      <c r="L37" s="40" t="s">
        <v>90</v>
      </c>
      <c r="M37" s="40" t="s">
        <v>314</v>
      </c>
      <c r="N37" s="40" t="s">
        <v>315</v>
      </c>
      <c r="O37" s="42">
        <v>0.9</v>
      </c>
      <c r="P37" s="43">
        <v>0.25</v>
      </c>
      <c r="Q37" s="40" t="s">
        <v>91</v>
      </c>
      <c r="R37" s="44">
        <v>45292</v>
      </c>
      <c r="S37" s="44">
        <v>45657</v>
      </c>
      <c r="T37" s="74" t="s">
        <v>316</v>
      </c>
      <c r="U37" s="74" t="s">
        <v>316</v>
      </c>
      <c r="V37" s="46" t="s">
        <v>71</v>
      </c>
      <c r="W37" s="42">
        <v>2</v>
      </c>
      <c r="X37" s="45">
        <v>3</v>
      </c>
      <c r="Y37" s="46">
        <f>IFERROR((W37/X37)*(1/3),0)</f>
        <v>0.22222222222222221</v>
      </c>
      <c r="Z37" s="42">
        <v>4</v>
      </c>
      <c r="AA37" s="45">
        <v>5</v>
      </c>
      <c r="AB37" s="46">
        <f>IFERROR((Z37/AA37)*(1/3),0)</f>
        <v>0.26666666666666666</v>
      </c>
      <c r="AC37" s="42">
        <v>5</v>
      </c>
      <c r="AD37" s="45">
        <v>5</v>
      </c>
      <c r="AE37" s="46">
        <f>IFERROR((AC37/AD37)*(1/3),0)</f>
        <v>0.33333333333333331</v>
      </c>
      <c r="AF37" s="60">
        <f>+Y37+AB37+AE37</f>
        <v>0.82222222222222219</v>
      </c>
      <c r="AG37" s="166">
        <f>+(AF37+AF38+AF39+AF40+AF41+AF42)/6</f>
        <v>0.81506734006734005</v>
      </c>
      <c r="AH37" s="46" t="s">
        <v>317</v>
      </c>
      <c r="AI37" s="61" t="s">
        <v>318</v>
      </c>
      <c r="AJ37" s="65" t="s">
        <v>319</v>
      </c>
      <c r="AK37" s="66"/>
      <c r="AL37" s="52" t="s">
        <v>320</v>
      </c>
      <c r="AM37" s="71" t="s">
        <v>321</v>
      </c>
      <c r="AN37" s="52" t="s">
        <v>714</v>
      </c>
      <c r="AO37" s="147" t="s">
        <v>735</v>
      </c>
      <c r="AP37" s="149" t="s">
        <v>848</v>
      </c>
      <c r="AQ37" s="147" t="s">
        <v>849</v>
      </c>
    </row>
    <row r="38" spans="1:44" s="54" customFormat="1" ht="198" customHeight="1" thickBot="1" x14ac:dyDescent="0.25">
      <c r="A38" s="39">
        <v>28</v>
      </c>
      <c r="B38" s="40" t="s">
        <v>305</v>
      </c>
      <c r="C38" s="40" t="s">
        <v>306</v>
      </c>
      <c r="D38" s="41" t="s">
        <v>307</v>
      </c>
      <c r="E38" s="40" t="s">
        <v>322</v>
      </c>
      <c r="F38" s="40" t="s">
        <v>323</v>
      </c>
      <c r="G38" s="40" t="s">
        <v>324</v>
      </c>
      <c r="H38" s="40" t="s">
        <v>325</v>
      </c>
      <c r="I38" s="40" t="s">
        <v>326</v>
      </c>
      <c r="J38" s="40" t="s">
        <v>327</v>
      </c>
      <c r="K38" s="40" t="s">
        <v>80</v>
      </c>
      <c r="L38" s="40" t="s">
        <v>90</v>
      </c>
      <c r="M38" s="40">
        <v>2</v>
      </c>
      <c r="N38" s="40" t="s">
        <v>315</v>
      </c>
      <c r="O38" s="42">
        <v>2</v>
      </c>
      <c r="P38" s="43">
        <v>0.5</v>
      </c>
      <c r="Q38" s="40" t="s">
        <v>328</v>
      </c>
      <c r="R38" s="44">
        <v>45292</v>
      </c>
      <c r="S38" s="44">
        <v>45657</v>
      </c>
      <c r="T38" s="74" t="s">
        <v>316</v>
      </c>
      <c r="U38" s="82" t="s">
        <v>316</v>
      </c>
      <c r="V38" s="46" t="s">
        <v>314</v>
      </c>
      <c r="W38" s="42">
        <v>1</v>
      </c>
      <c r="X38" s="45">
        <v>1</v>
      </c>
      <c r="Y38" s="46">
        <f>+(W38/X38)*$P$38</f>
        <v>0.5</v>
      </c>
      <c r="Z38" s="74" t="s">
        <v>316</v>
      </c>
      <c r="AA38" s="82" t="s">
        <v>316</v>
      </c>
      <c r="AB38" s="46" t="s">
        <v>314</v>
      </c>
      <c r="AC38" s="42">
        <v>1</v>
      </c>
      <c r="AD38" s="45">
        <v>1</v>
      </c>
      <c r="AE38" s="46">
        <f>+(AC38/AD38)*$P$38</f>
        <v>0.5</v>
      </c>
      <c r="AF38" s="60">
        <f>+Y38+AE38</f>
        <v>1</v>
      </c>
      <c r="AG38" s="166"/>
      <c r="AH38" s="46" t="s">
        <v>317</v>
      </c>
      <c r="AI38" s="61" t="s">
        <v>318</v>
      </c>
      <c r="AJ38" s="65" t="s">
        <v>329</v>
      </c>
      <c r="AK38" s="67" t="s">
        <v>330</v>
      </c>
      <c r="AL38" s="52" t="s">
        <v>331</v>
      </c>
      <c r="AM38" s="71" t="s">
        <v>332</v>
      </c>
      <c r="AN38" s="52" t="s">
        <v>736</v>
      </c>
      <c r="AO38" s="147" t="s">
        <v>737</v>
      </c>
      <c r="AP38" s="149" t="s">
        <v>850</v>
      </c>
      <c r="AQ38" s="147" t="s">
        <v>851</v>
      </c>
    </row>
    <row r="39" spans="1:44" s="54" customFormat="1" ht="221.25" customHeight="1" thickBot="1" x14ac:dyDescent="0.25">
      <c r="A39" s="39">
        <v>29</v>
      </c>
      <c r="B39" s="40" t="s">
        <v>305</v>
      </c>
      <c r="C39" s="40" t="s">
        <v>306</v>
      </c>
      <c r="D39" s="41" t="s">
        <v>307</v>
      </c>
      <c r="E39" s="40" t="s">
        <v>308</v>
      </c>
      <c r="F39" s="40" t="s">
        <v>309</v>
      </c>
      <c r="G39" s="40" t="s">
        <v>333</v>
      </c>
      <c r="H39" s="40" t="s">
        <v>334</v>
      </c>
      <c r="I39" s="40" t="s">
        <v>335</v>
      </c>
      <c r="J39" s="40" t="s">
        <v>336</v>
      </c>
      <c r="K39" s="40" t="s">
        <v>80</v>
      </c>
      <c r="L39" s="40" t="s">
        <v>90</v>
      </c>
      <c r="M39" s="40">
        <v>1</v>
      </c>
      <c r="N39" s="40" t="s">
        <v>337</v>
      </c>
      <c r="O39" s="42">
        <v>15</v>
      </c>
      <c r="P39" s="43">
        <v>0.25</v>
      </c>
      <c r="Q39" s="40" t="s">
        <v>91</v>
      </c>
      <c r="R39" s="44">
        <v>45292</v>
      </c>
      <c r="S39" s="44">
        <v>45657</v>
      </c>
      <c r="T39" s="42">
        <v>3</v>
      </c>
      <c r="U39" s="45">
        <v>3</v>
      </c>
      <c r="V39" s="46">
        <f>IFERROR((T39/U39)*$P$39,0)</f>
        <v>0.25</v>
      </c>
      <c r="W39" s="42">
        <v>3</v>
      </c>
      <c r="X39" s="45">
        <v>3</v>
      </c>
      <c r="Y39" s="46">
        <f>IFERROR((W39/X39)*$P$39,0)</f>
        <v>0.25</v>
      </c>
      <c r="Z39" s="42">
        <v>3</v>
      </c>
      <c r="AA39" s="45">
        <v>3</v>
      </c>
      <c r="AB39" s="46">
        <f>IFERROR((Z39/AA39)*$P$39,0)</f>
        <v>0.25</v>
      </c>
      <c r="AC39" s="42">
        <v>1</v>
      </c>
      <c r="AD39" s="45">
        <v>1</v>
      </c>
      <c r="AE39" s="46">
        <f>IFERROR((AC39/AD39)*$P$39,0)</f>
        <v>0.25</v>
      </c>
      <c r="AF39" s="60">
        <f>+V39+Y39+AB39+AE39</f>
        <v>1</v>
      </c>
      <c r="AG39" s="166"/>
      <c r="AH39" s="46" t="s">
        <v>317</v>
      </c>
      <c r="AI39" s="61" t="s">
        <v>318</v>
      </c>
      <c r="AJ39" s="65" t="s">
        <v>338</v>
      </c>
      <c r="AK39" s="67" t="s">
        <v>339</v>
      </c>
      <c r="AL39" s="52" t="s">
        <v>340</v>
      </c>
      <c r="AM39" s="71" t="s">
        <v>341</v>
      </c>
      <c r="AN39" s="52" t="s">
        <v>715</v>
      </c>
      <c r="AO39" s="147" t="s">
        <v>738</v>
      </c>
      <c r="AP39" s="149" t="s">
        <v>852</v>
      </c>
      <c r="AQ39" s="147" t="s">
        <v>853</v>
      </c>
    </row>
    <row r="40" spans="1:44" s="54" customFormat="1" ht="147.75" customHeight="1" thickBot="1" x14ac:dyDescent="0.25">
      <c r="A40" s="39">
        <v>30</v>
      </c>
      <c r="B40" s="40" t="s">
        <v>305</v>
      </c>
      <c r="C40" s="40" t="s">
        <v>306</v>
      </c>
      <c r="D40" s="41" t="s">
        <v>307</v>
      </c>
      <c r="E40" s="40" t="s">
        <v>308</v>
      </c>
      <c r="F40" s="40" t="s">
        <v>342</v>
      </c>
      <c r="G40" s="40" t="s">
        <v>343</v>
      </c>
      <c r="H40" s="40" t="s">
        <v>344</v>
      </c>
      <c r="I40" s="40" t="s">
        <v>345</v>
      </c>
      <c r="J40" s="40" t="s">
        <v>346</v>
      </c>
      <c r="K40" s="40" t="s">
        <v>80</v>
      </c>
      <c r="L40" s="40" t="s">
        <v>90</v>
      </c>
      <c r="M40" s="40">
        <v>1</v>
      </c>
      <c r="N40" s="40" t="s">
        <v>347</v>
      </c>
      <c r="O40" s="42">
        <v>2</v>
      </c>
      <c r="P40" s="43">
        <v>0.5</v>
      </c>
      <c r="Q40" s="40" t="s">
        <v>328</v>
      </c>
      <c r="R40" s="44">
        <v>45292</v>
      </c>
      <c r="S40" s="44">
        <v>45657</v>
      </c>
      <c r="T40" s="42" t="s">
        <v>316</v>
      </c>
      <c r="U40" s="45" t="s">
        <v>539</v>
      </c>
      <c r="V40" s="46" t="s">
        <v>71</v>
      </c>
      <c r="W40" s="42">
        <v>1</v>
      </c>
      <c r="X40" s="45">
        <v>1</v>
      </c>
      <c r="Y40" s="46">
        <f>+(W40/X40)*$P$40</f>
        <v>0.5</v>
      </c>
      <c r="Z40" s="42" t="s">
        <v>316</v>
      </c>
      <c r="AA40" s="45" t="s">
        <v>316</v>
      </c>
      <c r="AB40" s="46" t="s">
        <v>71</v>
      </c>
      <c r="AC40" s="42">
        <v>1</v>
      </c>
      <c r="AD40" s="45">
        <v>1</v>
      </c>
      <c r="AE40" s="46">
        <f>+(AC40/AD40)*$P$40</f>
        <v>0.5</v>
      </c>
      <c r="AF40" s="60">
        <f>Y40+AE40</f>
        <v>1</v>
      </c>
      <c r="AG40" s="166"/>
      <c r="AH40" s="46" t="s">
        <v>317</v>
      </c>
      <c r="AI40" s="61" t="s">
        <v>318</v>
      </c>
      <c r="AJ40" s="65" t="s">
        <v>348</v>
      </c>
      <c r="AK40" s="67" t="s">
        <v>349</v>
      </c>
      <c r="AL40" s="52" t="s">
        <v>350</v>
      </c>
      <c r="AM40" s="53" t="s">
        <v>662</v>
      </c>
      <c r="AN40" s="52" t="s">
        <v>716</v>
      </c>
      <c r="AO40" s="147" t="s">
        <v>783</v>
      </c>
      <c r="AP40" s="149" t="s">
        <v>854</v>
      </c>
      <c r="AQ40" s="147" t="s">
        <v>855</v>
      </c>
    </row>
    <row r="41" spans="1:44" s="54" customFormat="1" ht="166.5" customHeight="1" thickBot="1" x14ac:dyDescent="0.25">
      <c r="A41" s="39">
        <v>31</v>
      </c>
      <c r="B41" s="40" t="s">
        <v>305</v>
      </c>
      <c r="C41" s="40" t="s">
        <v>306</v>
      </c>
      <c r="D41" s="41" t="s">
        <v>307</v>
      </c>
      <c r="E41" s="40" t="s">
        <v>308</v>
      </c>
      <c r="F41" s="40" t="s">
        <v>342</v>
      </c>
      <c r="G41" s="40" t="s">
        <v>351</v>
      </c>
      <c r="H41" s="40" t="s">
        <v>352</v>
      </c>
      <c r="I41" s="40" t="s">
        <v>353</v>
      </c>
      <c r="J41" s="40" t="s">
        <v>354</v>
      </c>
      <c r="K41" s="40" t="s">
        <v>80</v>
      </c>
      <c r="L41" s="40" t="s">
        <v>90</v>
      </c>
      <c r="M41" s="40">
        <v>3</v>
      </c>
      <c r="N41" s="40" t="s">
        <v>355</v>
      </c>
      <c r="O41" s="42">
        <v>3</v>
      </c>
      <c r="P41" s="43">
        <v>0.25</v>
      </c>
      <c r="Q41" s="40" t="s">
        <v>91</v>
      </c>
      <c r="R41" s="44">
        <v>45292</v>
      </c>
      <c r="S41" s="44">
        <v>45657</v>
      </c>
      <c r="T41" s="42">
        <v>3</v>
      </c>
      <c r="U41" s="45">
        <v>3</v>
      </c>
      <c r="V41" s="46">
        <f>IFERROR((T41/U41)*$P$41,0)</f>
        <v>0.25</v>
      </c>
      <c r="W41" s="42">
        <v>3</v>
      </c>
      <c r="X41" s="45">
        <v>3</v>
      </c>
      <c r="Y41" s="46">
        <f>IFERROR((W41/X41)*$P$41,0)</f>
        <v>0.25</v>
      </c>
      <c r="Z41" s="42">
        <v>3</v>
      </c>
      <c r="AA41" s="45">
        <v>3</v>
      </c>
      <c r="AB41" s="46">
        <f>IFERROR((Z41/AA41)*$P$41,0)</f>
        <v>0.25</v>
      </c>
      <c r="AC41" s="42"/>
      <c r="AD41" s="45">
        <v>3</v>
      </c>
      <c r="AE41" s="46">
        <f>IFERROR((AC41/AD41)*$P$41,0)</f>
        <v>0</v>
      </c>
      <c r="AF41" s="60">
        <f>+V41+Y41+AB41+AE41</f>
        <v>0.75</v>
      </c>
      <c r="AG41" s="166"/>
      <c r="AH41" s="46" t="s">
        <v>317</v>
      </c>
      <c r="AI41" s="61" t="s">
        <v>318</v>
      </c>
      <c r="AJ41" s="65" t="s">
        <v>356</v>
      </c>
      <c r="AK41" s="67" t="s">
        <v>357</v>
      </c>
      <c r="AL41" s="52" t="s">
        <v>358</v>
      </c>
      <c r="AM41" s="71" t="s">
        <v>359</v>
      </c>
      <c r="AN41" s="52" t="s">
        <v>717</v>
      </c>
      <c r="AO41" s="147" t="s">
        <v>784</v>
      </c>
      <c r="AP41" s="149" t="s">
        <v>856</v>
      </c>
      <c r="AQ41" s="147" t="s">
        <v>857</v>
      </c>
    </row>
    <row r="42" spans="1:44" s="54" customFormat="1" ht="173.25" customHeight="1" thickBot="1" x14ac:dyDescent="0.25">
      <c r="A42" s="39">
        <v>32</v>
      </c>
      <c r="B42" s="40" t="s">
        <v>305</v>
      </c>
      <c r="C42" s="40" t="s">
        <v>306</v>
      </c>
      <c r="D42" s="41" t="s">
        <v>307</v>
      </c>
      <c r="E42" s="40" t="s">
        <v>308</v>
      </c>
      <c r="F42" s="40" t="s">
        <v>309</v>
      </c>
      <c r="G42" s="40" t="s">
        <v>360</v>
      </c>
      <c r="H42" s="40" t="s">
        <v>361</v>
      </c>
      <c r="I42" s="40" t="s">
        <v>362</v>
      </c>
      <c r="J42" s="40" t="s">
        <v>363</v>
      </c>
      <c r="K42" s="40" t="s">
        <v>80</v>
      </c>
      <c r="L42" s="40" t="s">
        <v>90</v>
      </c>
      <c r="M42" s="40" t="s">
        <v>71</v>
      </c>
      <c r="N42" s="40" t="s">
        <v>315</v>
      </c>
      <c r="O42" s="159" t="s">
        <v>364</v>
      </c>
      <c r="P42" s="43">
        <v>0.25</v>
      </c>
      <c r="Q42" s="40" t="s">
        <v>91</v>
      </c>
      <c r="R42" s="44">
        <v>45292</v>
      </c>
      <c r="S42" s="44">
        <v>45657</v>
      </c>
      <c r="T42" s="74" t="s">
        <v>316</v>
      </c>
      <c r="U42" s="82" t="s">
        <v>316</v>
      </c>
      <c r="V42" s="46">
        <f>IFERROR((T42/U42)*$P$42,0)</f>
        <v>0</v>
      </c>
      <c r="W42" s="42">
        <v>2</v>
      </c>
      <c r="X42" s="131">
        <v>11</v>
      </c>
      <c r="Y42" s="136">
        <f>IFERROR((W42/X42)*$P$42,0)</f>
        <v>4.5454545454545456E-2</v>
      </c>
      <c r="Z42" s="135">
        <v>6</v>
      </c>
      <c r="AA42" s="131">
        <v>11</v>
      </c>
      <c r="AB42" s="136">
        <f>IFERROR((Z42/AA42)*$P$42,0)</f>
        <v>0.13636363636363635</v>
      </c>
      <c r="AC42" s="135">
        <v>6</v>
      </c>
      <c r="AD42" s="131">
        <v>11</v>
      </c>
      <c r="AE42" s="46">
        <f>IFERROR((AC42/AD42)*$P$42,0)</f>
        <v>0.13636363636363635</v>
      </c>
      <c r="AF42" s="60">
        <f>+V42+Y42+AB42+AE42</f>
        <v>0.31818181818181818</v>
      </c>
      <c r="AG42" s="166"/>
      <c r="AH42" s="46" t="s">
        <v>317</v>
      </c>
      <c r="AI42" s="61" t="s">
        <v>318</v>
      </c>
      <c r="AJ42" s="65" t="s">
        <v>365</v>
      </c>
      <c r="AK42" s="67" t="s">
        <v>366</v>
      </c>
      <c r="AL42" s="52" t="s">
        <v>367</v>
      </c>
      <c r="AM42" s="71" t="s">
        <v>368</v>
      </c>
      <c r="AN42" s="52" t="s">
        <v>718</v>
      </c>
      <c r="AO42" s="147" t="s">
        <v>785</v>
      </c>
      <c r="AP42" s="149" t="s">
        <v>858</v>
      </c>
      <c r="AQ42" s="147" t="s">
        <v>859</v>
      </c>
    </row>
    <row r="43" spans="1:44" s="55" customFormat="1" ht="291.75" customHeight="1" thickBot="1" x14ac:dyDescent="0.25">
      <c r="A43" s="39">
        <v>33</v>
      </c>
      <c r="B43" s="40" t="s">
        <v>305</v>
      </c>
      <c r="C43" s="40" t="s">
        <v>369</v>
      </c>
      <c r="D43" s="41" t="s">
        <v>370</v>
      </c>
      <c r="E43" s="40" t="s">
        <v>371</v>
      </c>
      <c r="F43" s="40" t="s">
        <v>372</v>
      </c>
      <c r="G43" s="40" t="s">
        <v>373</v>
      </c>
      <c r="H43" s="40" t="s">
        <v>374</v>
      </c>
      <c r="I43" s="40" t="s">
        <v>375</v>
      </c>
      <c r="J43" s="40" t="s">
        <v>376</v>
      </c>
      <c r="K43" s="40" t="s">
        <v>80</v>
      </c>
      <c r="L43" s="40" t="s">
        <v>67</v>
      </c>
      <c r="M43" s="40">
        <v>10</v>
      </c>
      <c r="N43" s="40" t="s">
        <v>377</v>
      </c>
      <c r="O43" s="130">
        <v>17</v>
      </c>
      <c r="P43" s="43" t="s">
        <v>125</v>
      </c>
      <c r="Q43" s="40" t="s">
        <v>91</v>
      </c>
      <c r="R43" s="44">
        <v>45292</v>
      </c>
      <c r="S43" s="44">
        <v>45657</v>
      </c>
      <c r="T43" s="42">
        <v>0</v>
      </c>
      <c r="U43" s="45">
        <v>0</v>
      </c>
      <c r="V43" s="46">
        <v>0</v>
      </c>
      <c r="W43" s="42">
        <v>2</v>
      </c>
      <c r="X43" s="131">
        <v>2</v>
      </c>
      <c r="Y43" s="46">
        <f>+(W43/X43)*(W43/$O$43)</f>
        <v>0.11764705882352941</v>
      </c>
      <c r="Z43" s="42">
        <v>1</v>
      </c>
      <c r="AA43" s="131">
        <v>2</v>
      </c>
      <c r="AB43" s="46">
        <f>+(Z43/AA43)*(Z43/$O$43)</f>
        <v>2.9411764705882353E-2</v>
      </c>
      <c r="AC43" s="42">
        <v>5</v>
      </c>
      <c r="AD43" s="131">
        <v>13</v>
      </c>
      <c r="AE43" s="46">
        <f>+(AC43/AD43)*(AC43/$O$43)</f>
        <v>0.11312217194570137</v>
      </c>
      <c r="AF43" s="60">
        <f>IF((V43+Y43+AB43+AE43)&gt;100%,100%,(V43+Y43+AB43+AE43))</f>
        <v>0.26018099547511314</v>
      </c>
      <c r="AG43" s="167">
        <f>+(AF43+AF44+AF45+AF46+AF47+AF48+AF50+AF49)/8</f>
        <v>0.77638249596921005</v>
      </c>
      <c r="AH43" s="46" t="s">
        <v>378</v>
      </c>
      <c r="AI43" s="61" t="s">
        <v>379</v>
      </c>
      <c r="AJ43" s="65" t="s">
        <v>380</v>
      </c>
      <c r="AK43" s="67" t="s">
        <v>381</v>
      </c>
      <c r="AL43" s="52" t="s">
        <v>382</v>
      </c>
      <c r="AM43" s="53" t="s">
        <v>671</v>
      </c>
      <c r="AN43" s="52" t="s">
        <v>719</v>
      </c>
      <c r="AO43" s="147" t="s">
        <v>739</v>
      </c>
      <c r="AP43" s="52" t="s">
        <v>860</v>
      </c>
      <c r="AQ43" s="147" t="s">
        <v>861</v>
      </c>
      <c r="AR43" s="54"/>
    </row>
    <row r="44" spans="1:44" s="55" customFormat="1" ht="188.25" customHeight="1" thickBot="1" x14ac:dyDescent="0.25">
      <c r="A44" s="39">
        <v>34</v>
      </c>
      <c r="B44" s="40" t="s">
        <v>305</v>
      </c>
      <c r="C44" s="40" t="s">
        <v>369</v>
      </c>
      <c r="D44" s="41" t="s">
        <v>370</v>
      </c>
      <c r="E44" s="40" t="s">
        <v>371</v>
      </c>
      <c r="F44" s="40" t="s">
        <v>372</v>
      </c>
      <c r="G44" s="40" t="s">
        <v>383</v>
      </c>
      <c r="H44" s="40" t="s">
        <v>384</v>
      </c>
      <c r="I44" s="40" t="s">
        <v>385</v>
      </c>
      <c r="J44" s="40" t="s">
        <v>386</v>
      </c>
      <c r="K44" s="40" t="s">
        <v>66</v>
      </c>
      <c r="L44" s="40" t="s">
        <v>90</v>
      </c>
      <c r="M44" s="40">
        <v>0.9</v>
      </c>
      <c r="N44" s="40" t="s">
        <v>71</v>
      </c>
      <c r="O44" s="130">
        <v>29</v>
      </c>
      <c r="P44" s="132" t="s">
        <v>125</v>
      </c>
      <c r="Q44" s="133" t="s">
        <v>91</v>
      </c>
      <c r="R44" s="134">
        <v>45292</v>
      </c>
      <c r="S44" s="134">
        <v>45657</v>
      </c>
      <c r="T44" s="135">
        <v>4</v>
      </c>
      <c r="U44" s="131">
        <v>4</v>
      </c>
      <c r="V44" s="136">
        <f>+IFERROR((T44/U44)*(T44/$O$44),0)</f>
        <v>0.13793103448275862</v>
      </c>
      <c r="W44" s="135">
        <v>9</v>
      </c>
      <c r="X44" s="131">
        <v>9</v>
      </c>
      <c r="Y44" s="136">
        <f>+IFERROR((W44/X44)*(W44/$O$44),0)</f>
        <v>0.31034482758620691</v>
      </c>
      <c r="Z44" s="135">
        <v>5</v>
      </c>
      <c r="AA44" s="131">
        <v>6</v>
      </c>
      <c r="AB44" s="136">
        <f>+IFERROR((Z44/AA44)*(Z44/$O$44),0)</f>
        <v>0.14367816091954025</v>
      </c>
      <c r="AC44" s="135">
        <v>8</v>
      </c>
      <c r="AD44" s="131">
        <v>10</v>
      </c>
      <c r="AE44" s="136">
        <f>+IFERROR((AC44/AD44)*(AC44/$O$44),0)</f>
        <v>0.22068965517241379</v>
      </c>
      <c r="AF44" s="137">
        <f>+V44+Y44+AB44+AE44</f>
        <v>0.81264367816091954</v>
      </c>
      <c r="AG44" s="167"/>
      <c r="AH44" s="46" t="s">
        <v>387</v>
      </c>
      <c r="AI44" s="61" t="s">
        <v>379</v>
      </c>
      <c r="AJ44" s="65" t="s">
        <v>388</v>
      </c>
      <c r="AK44" s="67" t="s">
        <v>389</v>
      </c>
      <c r="AL44" s="52" t="s">
        <v>390</v>
      </c>
      <c r="AM44" s="53" t="s">
        <v>639</v>
      </c>
      <c r="AN44" s="52" t="s">
        <v>740</v>
      </c>
      <c r="AO44" s="147" t="s">
        <v>741</v>
      </c>
      <c r="AP44" s="52" t="s">
        <v>862</v>
      </c>
      <c r="AQ44" s="147" t="s">
        <v>863</v>
      </c>
      <c r="AR44" s="54"/>
    </row>
    <row r="45" spans="1:44" s="55" customFormat="1" ht="342" customHeight="1" thickBot="1" x14ac:dyDescent="0.25">
      <c r="A45" s="39">
        <v>35</v>
      </c>
      <c r="B45" s="40" t="s">
        <v>391</v>
      </c>
      <c r="C45" s="40" t="s">
        <v>392</v>
      </c>
      <c r="D45" s="41" t="s">
        <v>370</v>
      </c>
      <c r="E45" s="40" t="s">
        <v>393</v>
      </c>
      <c r="F45" s="40" t="s">
        <v>372</v>
      </c>
      <c r="G45" s="40" t="s">
        <v>394</v>
      </c>
      <c r="H45" s="40" t="s">
        <v>395</v>
      </c>
      <c r="I45" s="40" t="s">
        <v>396</v>
      </c>
      <c r="J45" s="40" t="s">
        <v>386</v>
      </c>
      <c r="K45" s="40" t="s">
        <v>66</v>
      </c>
      <c r="L45" s="40" t="s">
        <v>90</v>
      </c>
      <c r="M45" s="40">
        <v>1</v>
      </c>
      <c r="N45" s="40" t="s">
        <v>71</v>
      </c>
      <c r="O45" s="130">
        <v>34</v>
      </c>
      <c r="P45" s="132" t="s">
        <v>125</v>
      </c>
      <c r="Q45" s="133" t="s">
        <v>91</v>
      </c>
      <c r="R45" s="134">
        <v>45292</v>
      </c>
      <c r="S45" s="134">
        <v>45657</v>
      </c>
      <c r="T45" s="135">
        <v>5</v>
      </c>
      <c r="U45" s="131">
        <v>5</v>
      </c>
      <c r="V45" s="136">
        <f>+IFERROR((T45/U45)*(T45/$O$45),0)</f>
        <v>0.14705882352941177</v>
      </c>
      <c r="W45" s="135">
        <v>9</v>
      </c>
      <c r="X45" s="131">
        <v>10</v>
      </c>
      <c r="Y45" s="136">
        <f>+IFERROR((W45/X45)*(W45/$O$45),0)</f>
        <v>0.23823529411764707</v>
      </c>
      <c r="Z45" s="135">
        <v>9</v>
      </c>
      <c r="AA45" s="131">
        <v>9</v>
      </c>
      <c r="AB45" s="136">
        <f>+IFERROR((Z45/AA45)*(Z45/$O$45),0)</f>
        <v>0.26470588235294118</v>
      </c>
      <c r="AC45" s="135">
        <v>9</v>
      </c>
      <c r="AD45" s="131">
        <v>10</v>
      </c>
      <c r="AE45" s="136">
        <f>+IFERROR((AC45/AD45)*(AC45/$O$45),0)</f>
        <v>0.23823529411764707</v>
      </c>
      <c r="AF45" s="60">
        <f>+V45+Y45+AB45+AE45</f>
        <v>0.88823529411764712</v>
      </c>
      <c r="AG45" s="167"/>
      <c r="AH45" s="46" t="s">
        <v>387</v>
      </c>
      <c r="AI45" s="61" t="s">
        <v>379</v>
      </c>
      <c r="AJ45" s="65" t="s">
        <v>397</v>
      </c>
      <c r="AK45" s="67" t="s">
        <v>398</v>
      </c>
      <c r="AL45" s="52" t="s">
        <v>399</v>
      </c>
      <c r="AM45" s="53" t="s">
        <v>640</v>
      </c>
      <c r="AN45" s="52" t="s">
        <v>720</v>
      </c>
      <c r="AO45" s="147" t="s">
        <v>742</v>
      </c>
      <c r="AP45" s="52" t="s">
        <v>864</v>
      </c>
      <c r="AQ45" s="147" t="s">
        <v>865</v>
      </c>
      <c r="AR45" s="54"/>
    </row>
    <row r="46" spans="1:44" s="55" customFormat="1" ht="179.25" customHeight="1" thickBot="1" x14ac:dyDescent="0.25">
      <c r="A46" s="39">
        <v>36</v>
      </c>
      <c r="B46" s="40" t="s">
        <v>305</v>
      </c>
      <c r="C46" s="40" t="s">
        <v>369</v>
      </c>
      <c r="D46" s="41" t="s">
        <v>370</v>
      </c>
      <c r="E46" s="40" t="s">
        <v>400</v>
      </c>
      <c r="F46" s="40" t="s">
        <v>372</v>
      </c>
      <c r="G46" s="40" t="s">
        <v>401</v>
      </c>
      <c r="H46" s="40" t="s">
        <v>402</v>
      </c>
      <c r="I46" s="40" t="s">
        <v>403</v>
      </c>
      <c r="J46" s="40" t="s">
        <v>404</v>
      </c>
      <c r="K46" s="40" t="s">
        <v>66</v>
      </c>
      <c r="L46" s="40" t="s">
        <v>90</v>
      </c>
      <c r="M46" s="40">
        <v>1</v>
      </c>
      <c r="N46" s="40" t="s">
        <v>71</v>
      </c>
      <c r="O46" s="42">
        <v>0.9</v>
      </c>
      <c r="P46" s="43">
        <v>0.25</v>
      </c>
      <c r="Q46" s="40" t="s">
        <v>91</v>
      </c>
      <c r="R46" s="44">
        <v>45292</v>
      </c>
      <c r="S46" s="44">
        <v>45657</v>
      </c>
      <c r="T46" s="42">
        <v>3</v>
      </c>
      <c r="U46" s="45">
        <v>3</v>
      </c>
      <c r="V46" s="46">
        <f>IFERROR((T46/U46)*$P$46,0)</f>
        <v>0.25</v>
      </c>
      <c r="W46" s="42">
        <v>3</v>
      </c>
      <c r="X46" s="45">
        <v>3</v>
      </c>
      <c r="Y46" s="46">
        <f>IFERROR((W46/X46)*$P$46,0)</f>
        <v>0.25</v>
      </c>
      <c r="Z46" s="42">
        <v>3</v>
      </c>
      <c r="AA46" s="45">
        <v>3</v>
      </c>
      <c r="AB46" s="46">
        <f>IFERROR((Z46/AA46)*$P$46,0)</f>
        <v>0.25</v>
      </c>
      <c r="AC46" s="42">
        <v>3</v>
      </c>
      <c r="AD46" s="45">
        <v>3</v>
      </c>
      <c r="AE46" s="46">
        <f>IFERROR((AC46/AD46)*$P$46,0)</f>
        <v>0.25</v>
      </c>
      <c r="AF46" s="60">
        <f>+V46+Y46+AB46+AE46</f>
        <v>1</v>
      </c>
      <c r="AG46" s="167"/>
      <c r="AH46" s="46" t="s">
        <v>405</v>
      </c>
      <c r="AI46" s="61" t="s">
        <v>406</v>
      </c>
      <c r="AJ46" s="65" t="s">
        <v>407</v>
      </c>
      <c r="AK46" s="67" t="s">
        <v>408</v>
      </c>
      <c r="AL46" s="52" t="s">
        <v>409</v>
      </c>
      <c r="AM46" s="53" t="s">
        <v>641</v>
      </c>
      <c r="AN46" s="52" t="s">
        <v>721</v>
      </c>
      <c r="AO46" s="147" t="s">
        <v>786</v>
      </c>
      <c r="AP46" s="52" t="s">
        <v>866</v>
      </c>
      <c r="AQ46" s="147" t="s">
        <v>867</v>
      </c>
      <c r="AR46" s="54"/>
    </row>
    <row r="47" spans="1:44" s="55" customFormat="1" ht="192.75" customHeight="1" thickBot="1" x14ac:dyDescent="0.25">
      <c r="A47" s="39">
        <v>37</v>
      </c>
      <c r="B47" s="40" t="s">
        <v>305</v>
      </c>
      <c r="C47" s="40" t="s">
        <v>369</v>
      </c>
      <c r="D47" s="41" t="s">
        <v>370</v>
      </c>
      <c r="E47" s="40" t="s">
        <v>410</v>
      </c>
      <c r="F47" s="40" t="s">
        <v>411</v>
      </c>
      <c r="G47" s="40" t="s">
        <v>412</v>
      </c>
      <c r="H47" s="40" t="s">
        <v>413</v>
      </c>
      <c r="I47" s="40" t="s">
        <v>414</v>
      </c>
      <c r="J47" s="40" t="s">
        <v>415</v>
      </c>
      <c r="K47" s="40" t="s">
        <v>66</v>
      </c>
      <c r="L47" s="40" t="s">
        <v>90</v>
      </c>
      <c r="M47" s="40">
        <v>1</v>
      </c>
      <c r="N47" s="40" t="s">
        <v>71</v>
      </c>
      <c r="O47" s="42">
        <v>1</v>
      </c>
      <c r="P47" s="43">
        <v>0.25</v>
      </c>
      <c r="Q47" s="40" t="s">
        <v>91</v>
      </c>
      <c r="R47" s="44">
        <v>45292</v>
      </c>
      <c r="S47" s="44">
        <v>45657</v>
      </c>
      <c r="T47" s="42">
        <v>10</v>
      </c>
      <c r="U47" s="45">
        <v>10</v>
      </c>
      <c r="V47" s="46">
        <f>IFERROR((T47/U47)*$P$47,0)</f>
        <v>0.25</v>
      </c>
      <c r="W47" s="42">
        <v>8</v>
      </c>
      <c r="X47" s="45">
        <v>8</v>
      </c>
      <c r="Y47" s="46">
        <f>IFERROR((W47/X47)*$P$47,0)</f>
        <v>0.25</v>
      </c>
      <c r="Z47" s="42">
        <v>4</v>
      </c>
      <c r="AA47" s="45">
        <v>4</v>
      </c>
      <c r="AB47" s="46">
        <f>IFERROR((Z47/AA47)*$P$47,0)</f>
        <v>0.25</v>
      </c>
      <c r="AC47" s="42">
        <v>0</v>
      </c>
      <c r="AD47" s="45">
        <v>1</v>
      </c>
      <c r="AE47" s="46">
        <f>IFERROR((AC47/AD47)*$P$47,0)</f>
        <v>0</v>
      </c>
      <c r="AF47" s="60">
        <f>+V47+Y47+AB47+AE47</f>
        <v>0.75</v>
      </c>
      <c r="AG47" s="167"/>
      <c r="AH47" s="46" t="s">
        <v>405</v>
      </c>
      <c r="AI47" s="61" t="s">
        <v>406</v>
      </c>
      <c r="AJ47" s="65" t="s">
        <v>416</v>
      </c>
      <c r="AK47" s="67" t="s">
        <v>417</v>
      </c>
      <c r="AL47" s="52" t="s">
        <v>418</v>
      </c>
      <c r="AM47" s="53" t="s">
        <v>672</v>
      </c>
      <c r="AN47" s="52" t="s">
        <v>722</v>
      </c>
      <c r="AO47" s="147" t="s">
        <v>787</v>
      </c>
      <c r="AP47" s="52" t="s">
        <v>868</v>
      </c>
      <c r="AQ47" s="147" t="s">
        <v>869</v>
      </c>
      <c r="AR47" s="54"/>
    </row>
    <row r="48" spans="1:44" s="55" customFormat="1" ht="137.25" customHeight="1" thickBot="1" x14ac:dyDescent="0.25">
      <c r="A48" s="39">
        <v>38</v>
      </c>
      <c r="B48" s="40" t="s">
        <v>305</v>
      </c>
      <c r="C48" s="40" t="s">
        <v>369</v>
      </c>
      <c r="D48" s="41" t="s">
        <v>370</v>
      </c>
      <c r="E48" s="40" t="s">
        <v>419</v>
      </c>
      <c r="F48" s="40" t="s">
        <v>372</v>
      </c>
      <c r="G48" s="40" t="s">
        <v>420</v>
      </c>
      <c r="H48" s="40" t="s">
        <v>421</v>
      </c>
      <c r="I48" s="40" t="s">
        <v>422</v>
      </c>
      <c r="J48" s="40" t="s">
        <v>423</v>
      </c>
      <c r="K48" s="40" t="s">
        <v>80</v>
      </c>
      <c r="L48" s="40" t="s">
        <v>90</v>
      </c>
      <c r="M48" s="40">
        <v>2</v>
      </c>
      <c r="N48" s="40" t="s">
        <v>71</v>
      </c>
      <c r="O48" s="42">
        <v>2</v>
      </c>
      <c r="P48" s="43">
        <v>0.5</v>
      </c>
      <c r="Q48" s="40" t="s">
        <v>328</v>
      </c>
      <c r="R48" s="44">
        <v>45292</v>
      </c>
      <c r="S48" s="44">
        <v>45657</v>
      </c>
      <c r="T48" s="42" t="s">
        <v>316</v>
      </c>
      <c r="U48" s="45" t="s">
        <v>539</v>
      </c>
      <c r="V48" s="46" t="s">
        <v>71</v>
      </c>
      <c r="W48" s="42">
        <v>0</v>
      </c>
      <c r="X48" s="45">
        <v>1</v>
      </c>
      <c r="Y48" s="46">
        <f>+W48/X48*$P$48</f>
        <v>0</v>
      </c>
      <c r="Z48" s="42">
        <v>1</v>
      </c>
      <c r="AA48" s="45">
        <v>1</v>
      </c>
      <c r="AB48" s="46">
        <f>+Z48/AA48*$P$48</f>
        <v>0.5</v>
      </c>
      <c r="AC48" s="42"/>
      <c r="AD48" s="45"/>
      <c r="AE48" s="46" t="s">
        <v>71</v>
      </c>
      <c r="AF48" s="60">
        <f>+Y48+AB48</f>
        <v>0.5</v>
      </c>
      <c r="AG48" s="167"/>
      <c r="AH48" s="46" t="s">
        <v>378</v>
      </c>
      <c r="AI48" s="61" t="s">
        <v>379</v>
      </c>
      <c r="AJ48" s="65" t="s">
        <v>424</v>
      </c>
      <c r="AK48" s="67" t="s">
        <v>425</v>
      </c>
      <c r="AL48" s="52" t="s">
        <v>426</v>
      </c>
      <c r="AM48" s="53" t="s">
        <v>673</v>
      </c>
      <c r="AN48" s="52" t="s">
        <v>743</v>
      </c>
      <c r="AO48" s="147" t="s">
        <v>744</v>
      </c>
      <c r="AP48" s="52" t="s">
        <v>870</v>
      </c>
      <c r="AQ48" s="147" t="s">
        <v>871</v>
      </c>
      <c r="AR48" s="54"/>
    </row>
    <row r="49" spans="1:44" s="55" customFormat="1" ht="140.25" customHeight="1" thickBot="1" x14ac:dyDescent="0.25">
      <c r="A49" s="39">
        <v>39</v>
      </c>
      <c r="B49" s="40" t="s">
        <v>305</v>
      </c>
      <c r="C49" s="40" t="s">
        <v>369</v>
      </c>
      <c r="D49" s="41" t="s">
        <v>370</v>
      </c>
      <c r="E49" s="40" t="s">
        <v>419</v>
      </c>
      <c r="F49" s="40" t="s">
        <v>372</v>
      </c>
      <c r="G49" s="40" t="s">
        <v>427</v>
      </c>
      <c r="H49" s="40" t="s">
        <v>428</v>
      </c>
      <c r="I49" s="40" t="s">
        <v>429</v>
      </c>
      <c r="J49" s="40" t="s">
        <v>430</v>
      </c>
      <c r="K49" s="40" t="s">
        <v>431</v>
      </c>
      <c r="L49" s="40" t="s">
        <v>90</v>
      </c>
      <c r="M49" s="40" t="s">
        <v>432</v>
      </c>
      <c r="N49" s="40" t="s">
        <v>433</v>
      </c>
      <c r="O49" s="74" t="s">
        <v>434</v>
      </c>
      <c r="P49" s="43">
        <v>1</v>
      </c>
      <c r="Q49" s="40" t="s">
        <v>70</v>
      </c>
      <c r="R49" s="44">
        <v>45292</v>
      </c>
      <c r="S49" s="44">
        <v>45657</v>
      </c>
      <c r="T49" s="42" t="s">
        <v>316</v>
      </c>
      <c r="U49" s="45" t="s">
        <v>539</v>
      </c>
      <c r="V49" s="46" t="s">
        <v>71</v>
      </c>
      <c r="W49" s="42" t="s">
        <v>316</v>
      </c>
      <c r="X49" s="45" t="s">
        <v>316</v>
      </c>
      <c r="Y49" s="46" t="s">
        <v>71</v>
      </c>
      <c r="Z49" s="42" t="s">
        <v>316</v>
      </c>
      <c r="AA49" s="45" t="s">
        <v>316</v>
      </c>
      <c r="AB49" s="46" t="s">
        <v>71</v>
      </c>
      <c r="AC49" s="42">
        <v>89</v>
      </c>
      <c r="AD49" s="45">
        <v>80</v>
      </c>
      <c r="AE49" s="46">
        <f>IF(AC49&gt;AD49,100%,AC49%)</f>
        <v>1</v>
      </c>
      <c r="AF49" s="60">
        <f>+AE49</f>
        <v>1</v>
      </c>
      <c r="AG49" s="167"/>
      <c r="AH49" s="46" t="s">
        <v>378</v>
      </c>
      <c r="AI49" s="61" t="s">
        <v>379</v>
      </c>
      <c r="AJ49" s="65" t="s">
        <v>435</v>
      </c>
      <c r="AK49" s="67" t="s">
        <v>436</v>
      </c>
      <c r="AL49" s="52" t="s">
        <v>437</v>
      </c>
      <c r="AM49" s="53" t="s">
        <v>674</v>
      </c>
      <c r="AN49" s="52" t="s">
        <v>745</v>
      </c>
      <c r="AO49" s="147" t="s">
        <v>746</v>
      </c>
      <c r="AP49" s="52" t="s">
        <v>872</v>
      </c>
      <c r="AQ49" s="147" t="s">
        <v>873</v>
      </c>
      <c r="AR49" s="54"/>
    </row>
    <row r="50" spans="1:44" s="55" customFormat="1" ht="141.75" customHeight="1" thickBot="1" x14ac:dyDescent="0.25">
      <c r="A50" s="39">
        <v>40</v>
      </c>
      <c r="B50" s="40" t="s">
        <v>305</v>
      </c>
      <c r="C50" s="40" t="s">
        <v>369</v>
      </c>
      <c r="D50" s="41" t="s">
        <v>370</v>
      </c>
      <c r="E50" s="40" t="s">
        <v>438</v>
      </c>
      <c r="F50" s="40" t="s">
        <v>439</v>
      </c>
      <c r="G50" s="40" t="s">
        <v>440</v>
      </c>
      <c r="H50" s="40" t="s">
        <v>441</v>
      </c>
      <c r="I50" s="40" t="s">
        <v>442</v>
      </c>
      <c r="J50" s="40" t="s">
        <v>443</v>
      </c>
      <c r="K50" s="40" t="s">
        <v>80</v>
      </c>
      <c r="L50" s="40" t="s">
        <v>90</v>
      </c>
      <c r="M50" s="40" t="s">
        <v>71</v>
      </c>
      <c r="N50" s="40" t="s">
        <v>71</v>
      </c>
      <c r="O50" s="42">
        <v>2</v>
      </c>
      <c r="P50" s="43">
        <v>0.5</v>
      </c>
      <c r="Q50" s="40" t="s">
        <v>328</v>
      </c>
      <c r="R50" s="44">
        <v>45292</v>
      </c>
      <c r="S50" s="44">
        <v>45657</v>
      </c>
      <c r="T50" s="42">
        <v>1</v>
      </c>
      <c r="U50" s="45">
        <v>1</v>
      </c>
      <c r="V50" s="46">
        <f>+T50/U50*P50</f>
        <v>0.5</v>
      </c>
      <c r="W50" s="42" t="s">
        <v>316</v>
      </c>
      <c r="X50" s="45" t="s">
        <v>316</v>
      </c>
      <c r="Y50" s="46" t="s">
        <v>71</v>
      </c>
      <c r="Z50" s="42">
        <v>1</v>
      </c>
      <c r="AA50" s="45">
        <v>1</v>
      </c>
      <c r="AB50" s="46">
        <f>+Z50/AA50*$P$50</f>
        <v>0.5</v>
      </c>
      <c r="AC50" s="42"/>
      <c r="AD50" s="45">
        <v>0</v>
      </c>
      <c r="AE50" s="46" t="s">
        <v>71</v>
      </c>
      <c r="AF50" s="60">
        <f>V50+AB50</f>
        <v>1</v>
      </c>
      <c r="AG50" s="167"/>
      <c r="AH50" s="46" t="s">
        <v>378</v>
      </c>
      <c r="AI50" s="61" t="s">
        <v>379</v>
      </c>
      <c r="AJ50" s="65" t="s">
        <v>444</v>
      </c>
      <c r="AK50" s="67" t="s">
        <v>445</v>
      </c>
      <c r="AL50" s="52" t="s">
        <v>446</v>
      </c>
      <c r="AM50" s="71" t="s">
        <v>642</v>
      </c>
      <c r="AN50" s="52" t="s">
        <v>747</v>
      </c>
      <c r="AO50" s="147" t="s">
        <v>748</v>
      </c>
      <c r="AP50" s="52" t="s">
        <v>874</v>
      </c>
      <c r="AQ50" s="147" t="s">
        <v>875</v>
      </c>
      <c r="AR50" s="54"/>
    </row>
    <row r="51" spans="1:44" s="54" customFormat="1" ht="202.5" customHeight="1" thickBot="1" x14ac:dyDescent="0.25">
      <c r="A51" s="39">
        <v>41</v>
      </c>
      <c r="B51" s="40" t="s">
        <v>447</v>
      </c>
      <c r="C51" s="40" t="s">
        <v>448</v>
      </c>
      <c r="D51" s="41" t="s">
        <v>449</v>
      </c>
      <c r="E51" s="40" t="s">
        <v>450</v>
      </c>
      <c r="F51" s="40" t="s">
        <v>451</v>
      </c>
      <c r="G51" s="40" t="s">
        <v>452</v>
      </c>
      <c r="H51" s="40" t="s">
        <v>453</v>
      </c>
      <c r="I51" s="40" t="s">
        <v>454</v>
      </c>
      <c r="J51" s="40" t="s">
        <v>455</v>
      </c>
      <c r="K51" s="40" t="s">
        <v>66</v>
      </c>
      <c r="L51" s="40" t="s">
        <v>117</v>
      </c>
      <c r="M51" s="40" t="s">
        <v>71</v>
      </c>
      <c r="N51" s="40" t="s">
        <v>71</v>
      </c>
      <c r="O51" s="64">
        <v>1</v>
      </c>
      <c r="P51" s="43">
        <v>0.25</v>
      </c>
      <c r="Q51" s="40" t="s">
        <v>91</v>
      </c>
      <c r="R51" s="44">
        <v>45292</v>
      </c>
      <c r="S51" s="44">
        <v>45657</v>
      </c>
      <c r="T51" s="83">
        <v>8802079275</v>
      </c>
      <c r="U51" s="83">
        <v>11655688070</v>
      </c>
      <c r="V51" s="46">
        <f>+(T51/U51)*$P$51</f>
        <v>0.18879364354420305</v>
      </c>
      <c r="W51" s="83">
        <v>10075361638</v>
      </c>
      <c r="X51" s="83">
        <v>12080971477</v>
      </c>
      <c r="Y51" s="46">
        <f>IFERROR((W51/X51)*$P$51,0)</f>
        <v>0.20849651158397484</v>
      </c>
      <c r="Z51" s="83">
        <v>11304521120</v>
      </c>
      <c r="AA51" s="83">
        <v>12065622442</v>
      </c>
      <c r="AB51" s="46">
        <f>IFERROR((Z51/AA51)*$P$51,0)</f>
        <v>0.2342299614947623</v>
      </c>
      <c r="AC51" s="83">
        <v>12007175367</v>
      </c>
      <c r="AD51" s="83">
        <v>12155550314</v>
      </c>
      <c r="AE51" s="46">
        <f>IFERROR((AC51/AD51)*$P$51,0)</f>
        <v>0.24694841156576203</v>
      </c>
      <c r="AF51" s="60">
        <f t="shared" ref="AF51:AF57" si="2">+V51+Y51+AB51+AE51</f>
        <v>0.87846852818870214</v>
      </c>
      <c r="AG51" s="166">
        <f>+(AF51+AF52+AF53+AF54+AF55+AF56)/6</f>
        <v>0.90691194203338998</v>
      </c>
      <c r="AH51" s="46" t="s">
        <v>238</v>
      </c>
      <c r="AI51" s="61" t="s">
        <v>456</v>
      </c>
      <c r="AJ51" s="65" t="s">
        <v>457</v>
      </c>
      <c r="AK51" s="67" t="s">
        <v>458</v>
      </c>
      <c r="AL51" s="52" t="s">
        <v>459</v>
      </c>
      <c r="AM51" s="71" t="s">
        <v>643</v>
      </c>
      <c r="AN51" s="149" t="s">
        <v>723</v>
      </c>
      <c r="AO51" s="147" t="s">
        <v>749</v>
      </c>
      <c r="AP51" s="151" t="s">
        <v>876</v>
      </c>
      <c r="AQ51" s="147" t="s">
        <v>877</v>
      </c>
    </row>
    <row r="52" spans="1:44" s="54" customFormat="1" ht="188.25" customHeight="1" thickBot="1" x14ac:dyDescent="0.25">
      <c r="A52" s="39">
        <v>42</v>
      </c>
      <c r="B52" s="40" t="s">
        <v>447</v>
      </c>
      <c r="C52" s="40" t="s">
        <v>448</v>
      </c>
      <c r="D52" s="41" t="s">
        <v>449</v>
      </c>
      <c r="E52" s="40" t="s">
        <v>450</v>
      </c>
      <c r="F52" s="40" t="s">
        <v>451</v>
      </c>
      <c r="G52" s="40" t="s">
        <v>452</v>
      </c>
      <c r="H52" s="40" t="s">
        <v>460</v>
      </c>
      <c r="I52" s="40" t="s">
        <v>461</v>
      </c>
      <c r="J52" s="40" t="s">
        <v>462</v>
      </c>
      <c r="K52" s="40" t="s">
        <v>66</v>
      </c>
      <c r="L52" s="40" t="s">
        <v>117</v>
      </c>
      <c r="M52" s="40" t="s">
        <v>71</v>
      </c>
      <c r="N52" s="40" t="s">
        <v>71</v>
      </c>
      <c r="O52" s="64">
        <v>1</v>
      </c>
      <c r="P52" s="43">
        <v>0.25</v>
      </c>
      <c r="Q52" s="40" t="s">
        <v>91</v>
      </c>
      <c r="R52" s="44">
        <v>45292</v>
      </c>
      <c r="S52" s="44">
        <v>45657</v>
      </c>
      <c r="T52" s="83">
        <v>4293116847</v>
      </c>
      <c r="U52" s="83">
        <v>11655688070</v>
      </c>
      <c r="V52" s="46">
        <f>+IFERROR((T52/U52)*$P$52,0)</f>
        <v>9.2082012259101231E-2</v>
      </c>
      <c r="W52" s="83">
        <v>4866735668</v>
      </c>
      <c r="X52" s="83">
        <v>12080971477</v>
      </c>
      <c r="Y52" s="46">
        <f>+IFERROR((W52/X52)*$P$52,0)</f>
        <v>0.10071076811300711</v>
      </c>
      <c r="Z52" s="83">
        <v>18546581452</v>
      </c>
      <c r="AA52" s="83">
        <v>12065622442</v>
      </c>
      <c r="AB52" s="46">
        <f>+IFERROR((Z52/AA52)*$P$52,0)</f>
        <v>0.38428563344233313</v>
      </c>
      <c r="AC52" s="83">
        <v>16316400878</v>
      </c>
      <c r="AD52" s="83">
        <v>12155550314</v>
      </c>
      <c r="AE52" s="46">
        <f>+IFERROR((AC52/AD52)*$P$52,0)</f>
        <v>0.33557511705594673</v>
      </c>
      <c r="AF52" s="60">
        <f t="shared" si="2"/>
        <v>0.91265353087038825</v>
      </c>
      <c r="AG52" s="166"/>
      <c r="AH52" s="46" t="s">
        <v>238</v>
      </c>
      <c r="AI52" s="61" t="s">
        <v>456</v>
      </c>
      <c r="AJ52" s="65" t="s">
        <v>463</v>
      </c>
      <c r="AK52" s="67" t="s">
        <v>464</v>
      </c>
      <c r="AL52" s="52" t="s">
        <v>465</v>
      </c>
      <c r="AM52" s="53" t="s">
        <v>644</v>
      </c>
      <c r="AN52" s="149" t="s">
        <v>724</v>
      </c>
      <c r="AO52" s="147" t="s">
        <v>752</v>
      </c>
      <c r="AP52" s="150" t="s">
        <v>878</v>
      </c>
      <c r="AQ52" s="147" t="s">
        <v>879</v>
      </c>
    </row>
    <row r="53" spans="1:44" s="69" customFormat="1" ht="129.75" customHeight="1" thickBot="1" x14ac:dyDescent="0.25">
      <c r="A53" s="39">
        <v>43</v>
      </c>
      <c r="B53" s="40" t="s">
        <v>447</v>
      </c>
      <c r="C53" s="40" t="s">
        <v>448</v>
      </c>
      <c r="D53" s="41" t="s">
        <v>449</v>
      </c>
      <c r="E53" s="40" t="s">
        <v>450</v>
      </c>
      <c r="F53" s="40" t="s">
        <v>451</v>
      </c>
      <c r="G53" s="40" t="s">
        <v>466</v>
      </c>
      <c r="H53" s="40" t="s">
        <v>467</v>
      </c>
      <c r="I53" s="40" t="s">
        <v>468</v>
      </c>
      <c r="J53" s="40" t="s">
        <v>469</v>
      </c>
      <c r="K53" s="40" t="s">
        <v>66</v>
      </c>
      <c r="L53" s="40" t="s">
        <v>67</v>
      </c>
      <c r="M53" s="40" t="s">
        <v>71</v>
      </c>
      <c r="N53" s="40" t="s">
        <v>470</v>
      </c>
      <c r="O53" s="64">
        <v>1</v>
      </c>
      <c r="P53" s="43">
        <v>0.25</v>
      </c>
      <c r="Q53" s="40" t="s">
        <v>91</v>
      </c>
      <c r="R53" s="44">
        <v>45292</v>
      </c>
      <c r="S53" s="44">
        <v>45657</v>
      </c>
      <c r="T53" s="42">
        <v>5</v>
      </c>
      <c r="U53" s="45">
        <v>5</v>
      </c>
      <c r="V53" s="46">
        <f>+IFERROR((T53/U53)*$P$53,0)</f>
        <v>0.25</v>
      </c>
      <c r="W53" s="42">
        <v>5</v>
      </c>
      <c r="X53" s="45">
        <v>5</v>
      </c>
      <c r="Y53" s="46">
        <f>+IFERROR((W53/X53)*$P$53,0)</f>
        <v>0.25</v>
      </c>
      <c r="Z53" s="42">
        <v>3</v>
      </c>
      <c r="AA53" s="45">
        <v>3</v>
      </c>
      <c r="AB53" s="46">
        <f>+IFERROR((Z53/AA53)*$P$53,0)</f>
        <v>0.25</v>
      </c>
      <c r="AC53" s="42">
        <v>3</v>
      </c>
      <c r="AD53" s="45">
        <v>3</v>
      </c>
      <c r="AE53" s="46">
        <f>+IFERROR((AC53/AD53)*$P$53,0)</f>
        <v>0.25</v>
      </c>
      <c r="AF53" s="60">
        <f t="shared" si="2"/>
        <v>1</v>
      </c>
      <c r="AG53" s="166"/>
      <c r="AH53" s="46" t="s">
        <v>238</v>
      </c>
      <c r="AI53" s="61" t="s">
        <v>456</v>
      </c>
      <c r="AJ53" s="65" t="s">
        <v>471</v>
      </c>
      <c r="AK53" s="67" t="s">
        <v>472</v>
      </c>
      <c r="AL53" s="52" t="s">
        <v>473</v>
      </c>
      <c r="AM53" s="53" t="s">
        <v>751</v>
      </c>
      <c r="AN53" s="149" t="s">
        <v>725</v>
      </c>
      <c r="AO53" s="147" t="s">
        <v>750</v>
      </c>
      <c r="AP53" s="151" t="s">
        <v>880</v>
      </c>
      <c r="AQ53" s="147" t="s">
        <v>881</v>
      </c>
    </row>
    <row r="54" spans="1:44" s="54" customFormat="1" ht="170.25" customHeight="1" thickBot="1" x14ac:dyDescent="0.25">
      <c r="A54" s="39">
        <v>44</v>
      </c>
      <c r="B54" s="40" t="s">
        <v>447</v>
      </c>
      <c r="C54" s="40" t="s">
        <v>448</v>
      </c>
      <c r="D54" s="41" t="s">
        <v>449</v>
      </c>
      <c r="E54" s="40" t="s">
        <v>450</v>
      </c>
      <c r="F54" s="40" t="s">
        <v>451</v>
      </c>
      <c r="G54" s="40" t="s">
        <v>474</v>
      </c>
      <c r="H54" s="40" t="s">
        <v>475</v>
      </c>
      <c r="I54" s="40" t="s">
        <v>476</v>
      </c>
      <c r="J54" s="40" t="s">
        <v>477</v>
      </c>
      <c r="K54" s="40" t="s">
        <v>478</v>
      </c>
      <c r="L54" s="40" t="s">
        <v>117</v>
      </c>
      <c r="M54" s="40" t="s">
        <v>71</v>
      </c>
      <c r="N54" s="40" t="s">
        <v>71</v>
      </c>
      <c r="O54" s="42">
        <v>12</v>
      </c>
      <c r="P54" s="43">
        <v>0.25</v>
      </c>
      <c r="Q54" s="40" t="s">
        <v>91</v>
      </c>
      <c r="R54" s="44">
        <v>45292</v>
      </c>
      <c r="S54" s="44">
        <v>45657</v>
      </c>
      <c r="T54" s="42">
        <v>3</v>
      </c>
      <c r="U54" s="45">
        <v>3</v>
      </c>
      <c r="V54" s="46">
        <f>+IFERROR((T54/U54)*$P$54,0)</f>
        <v>0.25</v>
      </c>
      <c r="W54" s="42">
        <v>3</v>
      </c>
      <c r="X54" s="45">
        <v>3</v>
      </c>
      <c r="Y54" s="46">
        <f>+IFERROR((W54/X54)*$P$54,0)</f>
        <v>0.25</v>
      </c>
      <c r="Z54" s="42">
        <v>3</v>
      </c>
      <c r="AA54" s="45">
        <v>3</v>
      </c>
      <c r="AB54" s="46">
        <f>+IFERROR((Z54/AA54)*$P$54,0)</f>
        <v>0.25</v>
      </c>
      <c r="AC54" s="42">
        <v>3</v>
      </c>
      <c r="AD54" s="45">
        <v>3</v>
      </c>
      <c r="AE54" s="46">
        <f>+IFERROR((AC54/AD54)*$P$54,0)</f>
        <v>0.25</v>
      </c>
      <c r="AF54" s="60">
        <f t="shared" si="2"/>
        <v>1</v>
      </c>
      <c r="AG54" s="166"/>
      <c r="AH54" s="46" t="s">
        <v>238</v>
      </c>
      <c r="AI54" s="61" t="s">
        <v>456</v>
      </c>
      <c r="AJ54" s="65" t="s">
        <v>479</v>
      </c>
      <c r="AK54" s="67" t="s">
        <v>480</v>
      </c>
      <c r="AL54" s="52" t="s">
        <v>481</v>
      </c>
      <c r="AM54" s="71" t="s">
        <v>675</v>
      </c>
      <c r="AN54" s="149" t="s">
        <v>481</v>
      </c>
      <c r="AO54" s="147" t="s">
        <v>753</v>
      </c>
      <c r="AP54" s="151" t="s">
        <v>882</v>
      </c>
      <c r="AQ54" s="147" t="s">
        <v>883</v>
      </c>
    </row>
    <row r="55" spans="1:44" s="54" customFormat="1" ht="155.25" customHeight="1" thickBot="1" x14ac:dyDescent="0.25">
      <c r="A55" s="39">
        <v>45</v>
      </c>
      <c r="B55" s="40" t="s">
        <v>447</v>
      </c>
      <c r="C55" s="40" t="s">
        <v>448</v>
      </c>
      <c r="D55" s="41" t="s">
        <v>449</v>
      </c>
      <c r="E55" s="40" t="s">
        <v>482</v>
      </c>
      <c r="F55" s="40" t="s">
        <v>483</v>
      </c>
      <c r="G55" s="40" t="s">
        <v>484</v>
      </c>
      <c r="H55" s="40" t="s">
        <v>485</v>
      </c>
      <c r="I55" s="40" t="s">
        <v>486</v>
      </c>
      <c r="J55" s="40" t="s">
        <v>487</v>
      </c>
      <c r="K55" s="40" t="s">
        <v>478</v>
      </c>
      <c r="L55" s="40" t="s">
        <v>117</v>
      </c>
      <c r="M55" s="40" t="s">
        <v>488</v>
      </c>
      <c r="N55" s="40" t="s">
        <v>489</v>
      </c>
      <c r="O55" s="64">
        <v>1</v>
      </c>
      <c r="P55" s="43">
        <v>0.25</v>
      </c>
      <c r="Q55" s="40" t="s">
        <v>91</v>
      </c>
      <c r="R55" s="44">
        <v>45292</v>
      </c>
      <c r="S55" s="44">
        <v>45657</v>
      </c>
      <c r="T55" s="83">
        <v>8279538860</v>
      </c>
      <c r="U55" s="83">
        <v>11655688070</v>
      </c>
      <c r="V55" s="46">
        <f>IFERROR((T55/U55)*$P$55,0)</f>
        <v>0.17758580210528918</v>
      </c>
      <c r="W55" s="83">
        <v>9721860485</v>
      </c>
      <c r="X55" s="83">
        <v>12080971477</v>
      </c>
      <c r="Y55" s="46">
        <f>IFERROR((W55/X55)*$P$55,0)</f>
        <v>0.20118126475815037</v>
      </c>
      <c r="Z55" s="83">
        <v>9541108291</v>
      </c>
      <c r="AA55" s="83">
        <v>12065622442</v>
      </c>
      <c r="AB55" s="46">
        <f>IFERROR((Z55/AA55)*$P$55,0)</f>
        <v>0.19769200339361986</v>
      </c>
      <c r="AC55" s="83">
        <v>9869218010</v>
      </c>
      <c r="AD55" s="83">
        <v>12155550314</v>
      </c>
      <c r="AE55" s="46">
        <f>IFERROR((AC55/AD55)*$P$55,0)</f>
        <v>0.20297760601248249</v>
      </c>
      <c r="AF55" s="60">
        <f t="shared" si="2"/>
        <v>0.77943667626954183</v>
      </c>
      <c r="AG55" s="166"/>
      <c r="AH55" s="46" t="s">
        <v>238</v>
      </c>
      <c r="AI55" s="61" t="s">
        <v>456</v>
      </c>
      <c r="AJ55" s="65" t="s">
        <v>490</v>
      </c>
      <c r="AK55" s="67" t="s">
        <v>491</v>
      </c>
      <c r="AL55" s="52" t="s">
        <v>492</v>
      </c>
      <c r="AM55" s="67" t="s">
        <v>645</v>
      </c>
      <c r="AN55" s="149" t="s">
        <v>757</v>
      </c>
      <c r="AO55" s="147" t="s">
        <v>754</v>
      </c>
      <c r="AP55" s="151" t="s">
        <v>884</v>
      </c>
      <c r="AQ55" s="147" t="s">
        <v>885</v>
      </c>
    </row>
    <row r="56" spans="1:44" s="54" customFormat="1" ht="214.5" customHeight="1" thickBot="1" x14ac:dyDescent="0.25">
      <c r="A56" s="39">
        <v>46</v>
      </c>
      <c r="B56" s="40" t="s">
        <v>447</v>
      </c>
      <c r="C56" s="40" t="s">
        <v>448</v>
      </c>
      <c r="D56" s="41" t="s">
        <v>449</v>
      </c>
      <c r="E56" s="40" t="s">
        <v>482</v>
      </c>
      <c r="F56" s="40" t="s">
        <v>483</v>
      </c>
      <c r="G56" s="40" t="s">
        <v>493</v>
      </c>
      <c r="H56" s="40" t="s">
        <v>494</v>
      </c>
      <c r="I56" s="40" t="s">
        <v>495</v>
      </c>
      <c r="J56" s="40" t="s">
        <v>496</v>
      </c>
      <c r="K56" s="40" t="s">
        <v>478</v>
      </c>
      <c r="L56" s="40" t="s">
        <v>117</v>
      </c>
      <c r="M56" s="40" t="s">
        <v>488</v>
      </c>
      <c r="N56" s="40" t="s">
        <v>489</v>
      </c>
      <c r="O56" s="64">
        <v>1</v>
      </c>
      <c r="P56" s="43">
        <v>0.25</v>
      </c>
      <c r="Q56" s="40" t="s">
        <v>91</v>
      </c>
      <c r="R56" s="44">
        <v>45292</v>
      </c>
      <c r="S56" s="44">
        <v>45657</v>
      </c>
      <c r="T56" s="83">
        <v>3257017782</v>
      </c>
      <c r="U56" s="83">
        <v>11655688070</v>
      </c>
      <c r="V56" s="46">
        <f>+IFERROR((T56/U56)*$P$55,0)</f>
        <v>6.9858977059944607E-2</v>
      </c>
      <c r="W56" s="83">
        <v>4634799208</v>
      </c>
      <c r="X56" s="83">
        <v>12080971477</v>
      </c>
      <c r="Y56" s="46">
        <f>+IFERROR((W56/X56)*$P$55,0)</f>
        <v>9.5911144580214949E-2</v>
      </c>
      <c r="Z56" s="83">
        <v>13834081363</v>
      </c>
      <c r="AA56" s="83">
        <v>12065622442</v>
      </c>
      <c r="AB56" s="46">
        <f>+IFERROR((Z56/AA56)*$P$55,0)</f>
        <v>0.286642513254104</v>
      </c>
      <c r="AC56" s="83">
        <v>20348404936</v>
      </c>
      <c r="AD56" s="83">
        <v>12155550314</v>
      </c>
      <c r="AE56" s="46">
        <f>+IFERROR((AC56/AD56)*$P$55,0)</f>
        <v>0.41850028197744332</v>
      </c>
      <c r="AF56" s="60">
        <f>+V56+Y56+AB56+AE56</f>
        <v>0.87091291687170691</v>
      </c>
      <c r="AG56" s="166"/>
      <c r="AH56" s="46" t="s">
        <v>238</v>
      </c>
      <c r="AI56" s="61" t="s">
        <v>456</v>
      </c>
      <c r="AJ56" s="65" t="s">
        <v>497</v>
      </c>
      <c r="AK56" s="67" t="s">
        <v>498</v>
      </c>
      <c r="AL56" s="52" t="s">
        <v>499</v>
      </c>
      <c r="AM56" s="67" t="s">
        <v>646</v>
      </c>
      <c r="AN56" s="149" t="s">
        <v>756</v>
      </c>
      <c r="AO56" s="147" t="s">
        <v>755</v>
      </c>
      <c r="AP56" s="151" t="s">
        <v>886</v>
      </c>
      <c r="AQ56" s="147" t="s">
        <v>887</v>
      </c>
    </row>
    <row r="57" spans="1:44" s="54" customFormat="1" ht="333" customHeight="1" thickBot="1" x14ac:dyDescent="0.25">
      <c r="A57" s="39">
        <v>47</v>
      </c>
      <c r="B57" s="40" t="s">
        <v>305</v>
      </c>
      <c r="C57" s="40" t="s">
        <v>306</v>
      </c>
      <c r="D57" s="41" t="s">
        <v>500</v>
      </c>
      <c r="E57" s="40" t="s">
        <v>501</v>
      </c>
      <c r="F57" s="40" t="s">
        <v>502</v>
      </c>
      <c r="G57" s="40" t="s">
        <v>503</v>
      </c>
      <c r="H57" s="40" t="s">
        <v>504</v>
      </c>
      <c r="I57" s="40" t="s">
        <v>505</v>
      </c>
      <c r="J57" s="40" t="s">
        <v>506</v>
      </c>
      <c r="K57" s="40" t="s">
        <v>80</v>
      </c>
      <c r="L57" s="40" t="s">
        <v>67</v>
      </c>
      <c r="M57" s="40">
        <v>6000</v>
      </c>
      <c r="N57" s="40" t="s">
        <v>507</v>
      </c>
      <c r="O57" s="42">
        <v>6000</v>
      </c>
      <c r="P57" s="43">
        <v>0.25</v>
      </c>
      <c r="Q57" s="40" t="s">
        <v>508</v>
      </c>
      <c r="R57" s="44">
        <v>45292</v>
      </c>
      <c r="S57" s="44">
        <v>45657</v>
      </c>
      <c r="T57" s="42">
        <v>622</v>
      </c>
      <c r="U57" s="45">
        <v>1500</v>
      </c>
      <c r="V57" s="46">
        <f>IFERROR((T57/U57)*$P$57,0)</f>
        <v>0.10366666666666667</v>
      </c>
      <c r="W57" s="42">
        <v>1600</v>
      </c>
      <c r="X57" s="45">
        <v>1500</v>
      </c>
      <c r="Y57" s="46">
        <f>IFERROR((W57/X57)*$P$57,0)</f>
        <v>0.26666666666666666</v>
      </c>
      <c r="Z57" s="42">
        <v>1505</v>
      </c>
      <c r="AA57" s="45">
        <v>1500</v>
      </c>
      <c r="AB57" s="46">
        <f>IFERROR((Z57/AA57)*$P$57,0)</f>
        <v>0.25083333333333335</v>
      </c>
      <c r="AC57" s="42">
        <v>1397</v>
      </c>
      <c r="AD57" s="45">
        <v>1500</v>
      </c>
      <c r="AE57" s="46">
        <f>IFERROR((AC57/AD57)*$P$57,0)</f>
        <v>0.23283333333333334</v>
      </c>
      <c r="AF57" s="60">
        <f t="shared" si="2"/>
        <v>0.85399999999999998</v>
      </c>
      <c r="AG57" s="169">
        <f>+(AF57+AF58+AF59)/3</f>
        <v>0.95130000000000015</v>
      </c>
      <c r="AH57" s="46" t="s">
        <v>109</v>
      </c>
      <c r="AI57" s="61" t="s">
        <v>509</v>
      </c>
      <c r="AJ57" s="65" t="s">
        <v>510</v>
      </c>
      <c r="AK57" s="66"/>
      <c r="AL57" s="65" t="s">
        <v>511</v>
      </c>
      <c r="AM57" s="143" t="s">
        <v>683</v>
      </c>
      <c r="AN57" s="149" t="s">
        <v>758</v>
      </c>
      <c r="AO57" s="147" t="s">
        <v>761</v>
      </c>
      <c r="AP57" s="151" t="s">
        <v>888</v>
      </c>
      <c r="AQ57" s="147" t="s">
        <v>906</v>
      </c>
    </row>
    <row r="58" spans="1:44" s="54" customFormat="1" ht="139.5" customHeight="1" thickBot="1" x14ac:dyDescent="0.25">
      <c r="A58" s="39">
        <v>48</v>
      </c>
      <c r="B58" s="40" t="s">
        <v>305</v>
      </c>
      <c r="C58" s="40" t="s">
        <v>306</v>
      </c>
      <c r="D58" s="41" t="s">
        <v>512</v>
      </c>
      <c r="E58" s="40" t="s">
        <v>501</v>
      </c>
      <c r="F58" s="40" t="s">
        <v>502</v>
      </c>
      <c r="G58" s="40" t="s">
        <v>513</v>
      </c>
      <c r="H58" s="40" t="s">
        <v>514</v>
      </c>
      <c r="I58" s="40" t="s">
        <v>515</v>
      </c>
      <c r="J58" s="40" t="s">
        <v>516</v>
      </c>
      <c r="K58" s="40" t="s">
        <v>80</v>
      </c>
      <c r="L58" s="40" t="s">
        <v>67</v>
      </c>
      <c r="M58" s="40" t="s">
        <v>517</v>
      </c>
      <c r="N58" s="40" t="s">
        <v>71</v>
      </c>
      <c r="O58" s="42">
        <v>2</v>
      </c>
      <c r="P58" s="43">
        <v>0.5</v>
      </c>
      <c r="Q58" s="40" t="s">
        <v>157</v>
      </c>
      <c r="R58" s="44">
        <v>45292</v>
      </c>
      <c r="S58" s="44">
        <v>45657</v>
      </c>
      <c r="T58" s="42" t="s">
        <v>316</v>
      </c>
      <c r="U58" s="45" t="s">
        <v>316</v>
      </c>
      <c r="V58" s="46" t="s">
        <v>314</v>
      </c>
      <c r="W58" s="42">
        <v>1</v>
      </c>
      <c r="X58" s="45">
        <v>1</v>
      </c>
      <c r="Y58" s="46">
        <f>+(W58/X58)*$P$58</f>
        <v>0.5</v>
      </c>
      <c r="Z58" s="42" t="s">
        <v>539</v>
      </c>
      <c r="AA58" s="45" t="s">
        <v>316</v>
      </c>
      <c r="AB58" s="46" t="s">
        <v>314</v>
      </c>
      <c r="AC58" s="42">
        <v>1</v>
      </c>
      <c r="AD58" s="45">
        <v>1</v>
      </c>
      <c r="AE58" s="46">
        <f>+(AC58/AD58)*$P$58</f>
        <v>0.5</v>
      </c>
      <c r="AF58" s="60">
        <f>+Y58+AE58</f>
        <v>1</v>
      </c>
      <c r="AG58" s="170"/>
      <c r="AH58" s="46" t="s">
        <v>109</v>
      </c>
      <c r="AI58" s="61" t="s">
        <v>509</v>
      </c>
      <c r="AJ58" s="65" t="s">
        <v>518</v>
      </c>
      <c r="AK58" s="67" t="s">
        <v>519</v>
      </c>
      <c r="AL58" s="65" t="s">
        <v>520</v>
      </c>
      <c r="AM58" s="71" t="s">
        <v>681</v>
      </c>
      <c r="AN58" s="149" t="s">
        <v>759</v>
      </c>
      <c r="AO58" s="147" t="s">
        <v>762</v>
      </c>
      <c r="AP58" s="151" t="s">
        <v>889</v>
      </c>
      <c r="AQ58" s="147" t="s">
        <v>907</v>
      </c>
    </row>
    <row r="59" spans="1:44" s="70" customFormat="1" ht="183" customHeight="1" thickBot="1" x14ac:dyDescent="0.25">
      <c r="A59" s="39">
        <v>49</v>
      </c>
      <c r="B59" s="40" t="s">
        <v>305</v>
      </c>
      <c r="C59" s="40" t="s">
        <v>306</v>
      </c>
      <c r="D59" s="41" t="s">
        <v>512</v>
      </c>
      <c r="E59" s="40" t="s">
        <v>501</v>
      </c>
      <c r="F59" s="40" t="s">
        <v>502</v>
      </c>
      <c r="G59" s="40" t="s">
        <v>521</v>
      </c>
      <c r="H59" s="40" t="s">
        <v>522</v>
      </c>
      <c r="I59" s="40" t="s">
        <v>523</v>
      </c>
      <c r="J59" s="40" t="s">
        <v>524</v>
      </c>
      <c r="K59" s="40" t="s">
        <v>66</v>
      </c>
      <c r="L59" s="40" t="s">
        <v>67</v>
      </c>
      <c r="M59" s="40" t="s">
        <v>314</v>
      </c>
      <c r="N59" s="40" t="s">
        <v>525</v>
      </c>
      <c r="O59" s="42">
        <v>0.98</v>
      </c>
      <c r="P59" s="43">
        <v>0.33329999999999999</v>
      </c>
      <c r="Q59" s="40" t="s">
        <v>526</v>
      </c>
      <c r="R59" s="44">
        <v>45292</v>
      </c>
      <c r="S59" s="44">
        <v>45657</v>
      </c>
      <c r="T59" s="40" t="s">
        <v>316</v>
      </c>
      <c r="U59" s="84" t="s">
        <v>539</v>
      </c>
      <c r="V59" s="46">
        <f>IFERROR((T59/U59)*$P$59,0)</f>
        <v>0</v>
      </c>
      <c r="W59" s="42">
        <v>190</v>
      </c>
      <c r="X59" s="45">
        <v>190</v>
      </c>
      <c r="Y59" s="46">
        <f>IFERROR((W59/X59)*$P$59,0)</f>
        <v>0.33329999999999999</v>
      </c>
      <c r="Z59" s="42">
        <v>110</v>
      </c>
      <c r="AA59" s="45">
        <v>110</v>
      </c>
      <c r="AB59" s="46">
        <f>IFERROR((Z59/AA59)*$P$59,0)</f>
        <v>0.33329999999999999</v>
      </c>
      <c r="AC59" s="42">
        <v>394</v>
      </c>
      <c r="AD59" s="45">
        <v>394</v>
      </c>
      <c r="AE59" s="46">
        <f>IFERROR((AC59/AD59)*$P$59,0)</f>
        <v>0.33329999999999999</v>
      </c>
      <c r="AF59" s="60">
        <f>Y59+AB59+AE59</f>
        <v>0.99990000000000001</v>
      </c>
      <c r="AG59" s="168"/>
      <c r="AH59" s="46" t="s">
        <v>109</v>
      </c>
      <c r="AI59" s="61" t="s">
        <v>509</v>
      </c>
      <c r="AJ59" s="65" t="s">
        <v>527</v>
      </c>
      <c r="AK59" s="67" t="s">
        <v>519</v>
      </c>
      <c r="AL59" s="65" t="s">
        <v>682</v>
      </c>
      <c r="AM59" s="53" t="s">
        <v>676</v>
      </c>
      <c r="AN59" s="149" t="s">
        <v>760</v>
      </c>
      <c r="AO59" s="147" t="s">
        <v>763</v>
      </c>
      <c r="AP59" s="151" t="s">
        <v>890</v>
      </c>
      <c r="AQ59" s="147" t="s">
        <v>908</v>
      </c>
    </row>
    <row r="60" spans="1:44" s="55" customFormat="1" ht="164.25" customHeight="1" thickBot="1" x14ac:dyDescent="0.25">
      <c r="A60" s="39">
        <v>50</v>
      </c>
      <c r="B60" s="40" t="s">
        <v>528</v>
      </c>
      <c r="C60" s="40" t="s">
        <v>58</v>
      </c>
      <c r="D60" s="41" t="s">
        <v>529</v>
      </c>
      <c r="E60" s="40" t="s">
        <v>530</v>
      </c>
      <c r="F60" s="40" t="s">
        <v>531</v>
      </c>
      <c r="G60" s="40" t="s">
        <v>532</v>
      </c>
      <c r="H60" s="40" t="s">
        <v>533</v>
      </c>
      <c r="I60" s="40" t="s">
        <v>534</v>
      </c>
      <c r="J60" s="40" t="s">
        <v>535</v>
      </c>
      <c r="K60" s="40" t="s">
        <v>80</v>
      </c>
      <c r="L60" s="40" t="s">
        <v>536</v>
      </c>
      <c r="M60" s="40" t="s">
        <v>537</v>
      </c>
      <c r="N60" s="40" t="s">
        <v>538</v>
      </c>
      <c r="O60" s="42">
        <v>11</v>
      </c>
      <c r="P60" s="43" t="s">
        <v>125</v>
      </c>
      <c r="Q60" s="40" t="s">
        <v>268</v>
      </c>
      <c r="R60" s="44">
        <v>45292</v>
      </c>
      <c r="S60" s="44">
        <v>45657</v>
      </c>
      <c r="T60" s="40" t="s">
        <v>316</v>
      </c>
      <c r="U60" s="84" t="s">
        <v>539</v>
      </c>
      <c r="V60" s="46">
        <f>+IFERROR((T60/U60)*(T60/$O$60),0)</f>
        <v>0</v>
      </c>
      <c r="W60" s="40" t="s">
        <v>316</v>
      </c>
      <c r="X60" s="84" t="s">
        <v>539</v>
      </c>
      <c r="Y60" s="46">
        <f>+IFERROR((W60/X60)*(W60/$O$60),0)</f>
        <v>0</v>
      </c>
      <c r="Z60" s="42">
        <v>9</v>
      </c>
      <c r="AA60" s="45">
        <v>11</v>
      </c>
      <c r="AB60" s="46">
        <f>+IFERROR((Z60/AA60)*(Z60/$O$60),0)</f>
        <v>0.66942148760330589</v>
      </c>
      <c r="AC60" s="40" t="s">
        <v>316</v>
      </c>
      <c r="AD60" s="40" t="s">
        <v>316</v>
      </c>
      <c r="AE60" s="46">
        <f>+IFERROR((AC60/AD60)*(AC60/$O$60),0)</f>
        <v>0</v>
      </c>
      <c r="AF60" s="60">
        <f>IF(Y60+AB60+AE6+V60&gt;100%,100%,Y60+AB60+AE6+V60)</f>
        <v>0.66942148760330589</v>
      </c>
      <c r="AG60" s="168">
        <f>+(AF60+AF61+AF62+AF63+AF64+AF65)/6</f>
        <v>0.79659008920372554</v>
      </c>
      <c r="AH60" s="46" t="s">
        <v>540</v>
      </c>
      <c r="AI60" s="61" t="s">
        <v>540</v>
      </c>
      <c r="AJ60" s="65" t="s">
        <v>541</v>
      </c>
      <c r="AK60" s="67" t="s">
        <v>542</v>
      </c>
      <c r="AL60" s="138" t="s">
        <v>647</v>
      </c>
      <c r="AM60" s="53" t="s">
        <v>653</v>
      </c>
      <c r="AN60" s="52" t="s">
        <v>764</v>
      </c>
      <c r="AO60" s="147" t="s">
        <v>769</v>
      </c>
      <c r="AP60" s="52" t="s">
        <v>891</v>
      </c>
      <c r="AQ60" s="147" t="s">
        <v>892</v>
      </c>
      <c r="AR60" s="54"/>
    </row>
    <row r="61" spans="1:44" s="55" customFormat="1" ht="150.75" customHeight="1" thickBot="1" x14ac:dyDescent="0.25">
      <c r="A61" s="39">
        <v>51</v>
      </c>
      <c r="B61" s="40" t="s">
        <v>528</v>
      </c>
      <c r="C61" s="40" t="s">
        <v>58</v>
      </c>
      <c r="D61" s="41" t="s">
        <v>529</v>
      </c>
      <c r="E61" s="40" t="s">
        <v>530</v>
      </c>
      <c r="F61" s="40" t="s">
        <v>531</v>
      </c>
      <c r="G61" s="40" t="s">
        <v>543</v>
      </c>
      <c r="H61" s="40" t="s">
        <v>544</v>
      </c>
      <c r="I61" s="40" t="s">
        <v>545</v>
      </c>
      <c r="J61" s="40" t="s">
        <v>546</v>
      </c>
      <c r="K61" s="40" t="s">
        <v>80</v>
      </c>
      <c r="L61" s="40" t="s">
        <v>536</v>
      </c>
      <c r="M61" s="40" t="s">
        <v>547</v>
      </c>
      <c r="N61" s="40" t="s">
        <v>548</v>
      </c>
      <c r="O61" s="42">
        <v>2</v>
      </c>
      <c r="P61" s="43">
        <v>0.5</v>
      </c>
      <c r="Q61" s="40" t="s">
        <v>549</v>
      </c>
      <c r="R61" s="44">
        <v>45292</v>
      </c>
      <c r="S61" s="44">
        <v>45657</v>
      </c>
      <c r="T61" s="42" t="s">
        <v>316</v>
      </c>
      <c r="U61" s="45" t="s">
        <v>316</v>
      </c>
      <c r="V61" s="46" t="s">
        <v>71</v>
      </c>
      <c r="W61" s="42">
        <v>1</v>
      </c>
      <c r="X61" s="45">
        <v>1</v>
      </c>
      <c r="Y61" s="46">
        <f>IFERROR((W61/X61)*$P$61,0)</f>
        <v>0.5</v>
      </c>
      <c r="Z61" s="42" t="s">
        <v>539</v>
      </c>
      <c r="AA61" s="45" t="s">
        <v>539</v>
      </c>
      <c r="AB61" s="46" t="s">
        <v>71</v>
      </c>
      <c r="AC61" s="42">
        <v>1</v>
      </c>
      <c r="AD61" s="45">
        <v>1</v>
      </c>
      <c r="AE61" s="46">
        <f>IFERROR((AC61/AD61)*$P$61,0)</f>
        <v>0.5</v>
      </c>
      <c r="AF61" s="60">
        <f>Y61+AE61</f>
        <v>1</v>
      </c>
      <c r="AG61" s="168"/>
      <c r="AH61" s="46" t="s">
        <v>540</v>
      </c>
      <c r="AI61" s="61" t="s">
        <v>540</v>
      </c>
      <c r="AJ61" s="65" t="s">
        <v>550</v>
      </c>
      <c r="AK61" s="67" t="s">
        <v>551</v>
      </c>
      <c r="AL61" s="138" t="s">
        <v>648</v>
      </c>
      <c r="AM61" s="53" t="s">
        <v>680</v>
      </c>
      <c r="AN61" s="52" t="s">
        <v>648</v>
      </c>
      <c r="AO61" s="147" t="s">
        <v>770</v>
      </c>
      <c r="AP61" s="52" t="s">
        <v>893</v>
      </c>
      <c r="AQ61" s="147" t="s">
        <v>894</v>
      </c>
      <c r="AR61" s="54"/>
    </row>
    <row r="62" spans="1:44" s="73" customFormat="1" ht="179.25" customHeight="1" thickBot="1" x14ac:dyDescent="0.25">
      <c r="A62" s="39">
        <v>52</v>
      </c>
      <c r="B62" s="40" t="s">
        <v>528</v>
      </c>
      <c r="C62" s="40" t="s">
        <v>58</v>
      </c>
      <c r="D62" s="41" t="s">
        <v>529</v>
      </c>
      <c r="E62" s="40" t="s">
        <v>530</v>
      </c>
      <c r="F62" s="40" t="s">
        <v>531</v>
      </c>
      <c r="G62" s="40" t="s">
        <v>552</v>
      </c>
      <c r="H62" s="40" t="s">
        <v>553</v>
      </c>
      <c r="I62" s="40" t="s">
        <v>554</v>
      </c>
      <c r="J62" s="40" t="s">
        <v>555</v>
      </c>
      <c r="K62" s="40" t="s">
        <v>80</v>
      </c>
      <c r="L62" s="40" t="s">
        <v>556</v>
      </c>
      <c r="M62" s="40" t="s">
        <v>557</v>
      </c>
      <c r="N62" s="40" t="s">
        <v>558</v>
      </c>
      <c r="O62" s="42">
        <v>9</v>
      </c>
      <c r="P62" s="43">
        <v>0.25</v>
      </c>
      <c r="Q62" s="40" t="s">
        <v>559</v>
      </c>
      <c r="R62" s="44">
        <v>45292</v>
      </c>
      <c r="S62" s="44">
        <v>45657</v>
      </c>
      <c r="T62" s="42">
        <v>6</v>
      </c>
      <c r="U62" s="45">
        <v>7</v>
      </c>
      <c r="V62" s="46">
        <f>+IFERROR((T62/U62)*($P$62),0)</f>
        <v>0.21428571428571427</v>
      </c>
      <c r="W62" s="42">
        <v>1</v>
      </c>
      <c r="X62" s="45">
        <v>4</v>
      </c>
      <c r="Y62" s="46">
        <f>+IFERROR((W62/X62)*($P$62),0)</f>
        <v>6.25E-2</v>
      </c>
      <c r="Z62" s="42">
        <v>2</v>
      </c>
      <c r="AA62" s="45">
        <v>3</v>
      </c>
      <c r="AB62" s="46">
        <f>+IFERROR((Z62/AA62)*($P$62),0)</f>
        <v>0.16666666666666666</v>
      </c>
      <c r="AC62" s="42">
        <v>2</v>
      </c>
      <c r="AD62" s="45">
        <v>6</v>
      </c>
      <c r="AE62" s="46">
        <f>+IFERROR((AC62/AD62)*($P$62),0)</f>
        <v>8.3333333333333329E-2</v>
      </c>
      <c r="AF62" s="60">
        <f>+V62+Y62+AB62+AE62</f>
        <v>0.5267857142857143</v>
      </c>
      <c r="AG62" s="168"/>
      <c r="AH62" s="46" t="s">
        <v>540</v>
      </c>
      <c r="AI62" s="61" t="s">
        <v>540</v>
      </c>
      <c r="AJ62" s="65" t="s">
        <v>560</v>
      </c>
      <c r="AK62" s="67" t="s">
        <v>561</v>
      </c>
      <c r="AL62" s="138" t="s">
        <v>649</v>
      </c>
      <c r="AM62" s="53" t="s">
        <v>677</v>
      </c>
      <c r="AN62" s="52" t="s">
        <v>765</v>
      </c>
      <c r="AO62" s="147" t="s">
        <v>771</v>
      </c>
      <c r="AP62" s="52" t="s">
        <v>895</v>
      </c>
      <c r="AQ62" s="147" t="s">
        <v>896</v>
      </c>
      <c r="AR62" s="69"/>
    </row>
    <row r="63" spans="1:44" s="73" customFormat="1" ht="189.75" customHeight="1" thickBot="1" x14ac:dyDescent="0.25">
      <c r="A63" s="39">
        <v>53</v>
      </c>
      <c r="B63" s="40" t="s">
        <v>562</v>
      </c>
      <c r="C63" s="40" t="s">
        <v>58</v>
      </c>
      <c r="D63" s="41" t="s">
        <v>529</v>
      </c>
      <c r="E63" s="40" t="s">
        <v>530</v>
      </c>
      <c r="F63" s="40" t="s">
        <v>531</v>
      </c>
      <c r="G63" s="40" t="s">
        <v>563</v>
      </c>
      <c r="H63" s="40" t="s">
        <v>564</v>
      </c>
      <c r="I63" s="40" t="s">
        <v>565</v>
      </c>
      <c r="J63" s="40" t="s">
        <v>566</v>
      </c>
      <c r="K63" s="40" t="s">
        <v>66</v>
      </c>
      <c r="L63" s="40" t="s">
        <v>536</v>
      </c>
      <c r="M63" s="40" t="s">
        <v>71</v>
      </c>
      <c r="N63" s="40" t="s">
        <v>567</v>
      </c>
      <c r="O63" s="74" t="s">
        <v>568</v>
      </c>
      <c r="P63" s="43">
        <v>0.5</v>
      </c>
      <c r="Q63" s="40" t="s">
        <v>559</v>
      </c>
      <c r="R63" s="44">
        <v>45292</v>
      </c>
      <c r="S63" s="44">
        <v>45657</v>
      </c>
      <c r="T63" s="42">
        <v>0</v>
      </c>
      <c r="U63" s="45">
        <v>1</v>
      </c>
      <c r="V63" s="46">
        <f>+IFERROR((T63/U63)*($P$63),0)</f>
        <v>0</v>
      </c>
      <c r="W63" s="42">
        <v>0</v>
      </c>
      <c r="X63" s="45">
        <v>1</v>
      </c>
      <c r="Y63" s="46">
        <f>+IFERROR((W63/X63)*($P$63),0)</f>
        <v>0</v>
      </c>
      <c r="Z63" s="42">
        <v>1</v>
      </c>
      <c r="AA63" s="45">
        <v>1</v>
      </c>
      <c r="AB63" s="46">
        <f>+IFERROR((Z63/AA63)*($P$63),0)</f>
        <v>0.5</v>
      </c>
      <c r="AC63" s="42">
        <v>1</v>
      </c>
      <c r="AD63" s="45">
        <v>1</v>
      </c>
      <c r="AE63" s="46">
        <f>+IFERROR((AC63/AD63)*($P$63),0)</f>
        <v>0.5</v>
      </c>
      <c r="AF63" s="60">
        <f>+V63+Y63+AB63+AE63</f>
        <v>1</v>
      </c>
      <c r="AG63" s="168"/>
      <c r="AH63" s="46" t="s">
        <v>540</v>
      </c>
      <c r="AI63" s="61" t="s">
        <v>540</v>
      </c>
      <c r="AJ63" s="65" t="s">
        <v>569</v>
      </c>
      <c r="AK63" s="67" t="s">
        <v>570</v>
      </c>
      <c r="AL63" s="138" t="s">
        <v>650</v>
      </c>
      <c r="AM63" s="53" t="s">
        <v>679</v>
      </c>
      <c r="AN63" s="52" t="s">
        <v>766</v>
      </c>
      <c r="AO63" s="147" t="s">
        <v>772</v>
      </c>
      <c r="AP63" s="52" t="s">
        <v>897</v>
      </c>
      <c r="AQ63" s="147" t="s">
        <v>898</v>
      </c>
      <c r="AR63" s="69"/>
    </row>
    <row r="64" spans="1:44" s="55" customFormat="1" ht="144" customHeight="1" thickBot="1" x14ac:dyDescent="0.25">
      <c r="A64" s="39">
        <v>54</v>
      </c>
      <c r="B64" s="40" t="s">
        <v>528</v>
      </c>
      <c r="C64" s="40" t="s">
        <v>58</v>
      </c>
      <c r="D64" s="41" t="s">
        <v>529</v>
      </c>
      <c r="E64" s="40" t="s">
        <v>530</v>
      </c>
      <c r="F64" s="40" t="s">
        <v>531</v>
      </c>
      <c r="G64" s="40" t="s">
        <v>571</v>
      </c>
      <c r="H64" s="40" t="s">
        <v>572</v>
      </c>
      <c r="I64" s="40" t="s">
        <v>573</v>
      </c>
      <c r="J64" s="40" t="s">
        <v>574</v>
      </c>
      <c r="K64" s="40" t="s">
        <v>80</v>
      </c>
      <c r="L64" s="40" t="s">
        <v>536</v>
      </c>
      <c r="M64" s="40">
        <v>4</v>
      </c>
      <c r="N64" s="40" t="s">
        <v>575</v>
      </c>
      <c r="O64" s="42">
        <v>4</v>
      </c>
      <c r="P64" s="43">
        <v>0.25</v>
      </c>
      <c r="Q64" s="40" t="s">
        <v>559</v>
      </c>
      <c r="R64" s="44">
        <v>45292</v>
      </c>
      <c r="S64" s="44">
        <v>45657</v>
      </c>
      <c r="T64" s="42">
        <v>1</v>
      </c>
      <c r="U64" s="45">
        <v>1</v>
      </c>
      <c r="V64" s="46">
        <f>+IFERROR((T64/U64)*$P$64,0)</f>
        <v>0.25</v>
      </c>
      <c r="W64" s="42">
        <v>1</v>
      </c>
      <c r="X64" s="45">
        <v>1</v>
      </c>
      <c r="Y64" s="46">
        <f>+IFERROR((W64/X64)*$P$64,0)</f>
        <v>0.25</v>
      </c>
      <c r="Z64" s="42">
        <v>1</v>
      </c>
      <c r="AA64" s="45">
        <v>1</v>
      </c>
      <c r="AB64" s="46">
        <f>+IFERROR((Z64/AA64)*$P$64,0)</f>
        <v>0.25</v>
      </c>
      <c r="AC64" s="42">
        <v>1</v>
      </c>
      <c r="AD64" s="45">
        <v>1</v>
      </c>
      <c r="AE64" s="46">
        <f>+IFERROR((AC64/AD64)*$P$64,0)</f>
        <v>0.25</v>
      </c>
      <c r="AF64" s="60">
        <f>+V64+Y64+AB64+AE64</f>
        <v>1</v>
      </c>
      <c r="AG64" s="168"/>
      <c r="AH64" s="46" t="s">
        <v>540</v>
      </c>
      <c r="AI64" s="61" t="s">
        <v>540</v>
      </c>
      <c r="AJ64" s="65" t="s">
        <v>576</v>
      </c>
      <c r="AK64" s="67" t="s">
        <v>577</v>
      </c>
      <c r="AL64" s="138" t="s">
        <v>651</v>
      </c>
      <c r="AM64" s="53" t="s">
        <v>678</v>
      </c>
      <c r="AN64" s="52" t="s">
        <v>767</v>
      </c>
      <c r="AO64" s="147" t="s">
        <v>773</v>
      </c>
      <c r="AP64" s="52" t="s">
        <v>899</v>
      </c>
      <c r="AQ64" s="147" t="s">
        <v>900</v>
      </c>
      <c r="AR64" s="54"/>
    </row>
    <row r="65" spans="1:44" s="73" customFormat="1" ht="207.75" customHeight="1" thickBot="1" x14ac:dyDescent="0.25">
      <c r="A65" s="39">
        <v>55</v>
      </c>
      <c r="B65" s="40" t="s">
        <v>528</v>
      </c>
      <c r="C65" s="40" t="s">
        <v>58</v>
      </c>
      <c r="D65" s="41" t="s">
        <v>529</v>
      </c>
      <c r="E65" s="40" t="s">
        <v>530</v>
      </c>
      <c r="F65" s="40" t="s">
        <v>531</v>
      </c>
      <c r="G65" s="40" t="s">
        <v>578</v>
      </c>
      <c r="H65" s="40" t="s">
        <v>579</v>
      </c>
      <c r="I65" s="40" t="s">
        <v>580</v>
      </c>
      <c r="J65" s="40" t="s">
        <v>581</v>
      </c>
      <c r="K65" s="40" t="s">
        <v>80</v>
      </c>
      <c r="L65" s="40" t="s">
        <v>536</v>
      </c>
      <c r="M65" s="40" t="s">
        <v>582</v>
      </c>
      <c r="N65" s="40" t="s">
        <v>583</v>
      </c>
      <c r="O65" s="64">
        <v>1</v>
      </c>
      <c r="P65" s="43">
        <v>0.25</v>
      </c>
      <c r="Q65" s="40" t="s">
        <v>82</v>
      </c>
      <c r="R65" s="44">
        <v>45292</v>
      </c>
      <c r="S65" s="44">
        <v>45657</v>
      </c>
      <c r="T65" s="42">
        <v>1</v>
      </c>
      <c r="U65" s="45">
        <v>3</v>
      </c>
      <c r="V65" s="46">
        <f>+IFERROR((T65/U65)*$P$65,0)</f>
        <v>8.3333333333333329E-2</v>
      </c>
      <c r="W65" s="42">
        <v>2</v>
      </c>
      <c r="X65" s="45">
        <v>3</v>
      </c>
      <c r="Y65" s="46">
        <f>+IFERROR((W65/X65)*$P$65,0)</f>
        <v>0.16666666666666666</v>
      </c>
      <c r="Z65" s="42">
        <v>1</v>
      </c>
      <c r="AA65" s="45">
        <v>3</v>
      </c>
      <c r="AB65" s="46">
        <f>+IFERROR((Z65/AA65)*$P$65,0)</f>
        <v>8.3333333333333329E-2</v>
      </c>
      <c r="AC65" s="42">
        <v>3</v>
      </c>
      <c r="AD65" s="45">
        <v>3</v>
      </c>
      <c r="AE65" s="46">
        <f>+IFERROR((AC65/AD65)*$P$65,0)</f>
        <v>0.25</v>
      </c>
      <c r="AF65" s="60">
        <f>+V65+Y65+AB65+AE65</f>
        <v>0.58333333333333326</v>
      </c>
      <c r="AG65" s="168"/>
      <c r="AH65" s="46" t="s">
        <v>540</v>
      </c>
      <c r="AI65" s="46" t="s">
        <v>540</v>
      </c>
      <c r="AJ65" s="139" t="s">
        <v>584</v>
      </c>
      <c r="AK65" s="140" t="s">
        <v>654</v>
      </c>
      <c r="AL65" s="138" t="s">
        <v>652</v>
      </c>
      <c r="AM65" s="53" t="s">
        <v>655</v>
      </c>
      <c r="AN65" s="52" t="s">
        <v>768</v>
      </c>
      <c r="AO65" s="147" t="s">
        <v>774</v>
      </c>
      <c r="AP65" s="52" t="s">
        <v>901</v>
      </c>
      <c r="AQ65" s="147" t="s">
        <v>902</v>
      </c>
      <c r="AR65" s="69"/>
    </row>
    <row r="66" spans="1:44" ht="15" customHeight="1" x14ac:dyDescent="0.25">
      <c r="AG66" s="85"/>
    </row>
    <row r="67" spans="1:44" ht="15" hidden="1" customHeight="1" x14ac:dyDescent="0.25">
      <c r="AQ67" s="6" t="s">
        <v>585</v>
      </c>
    </row>
    <row r="68" spans="1:44" ht="15" customHeight="1" x14ac:dyDescent="0.25"/>
    <row r="69" spans="1:44" ht="15" customHeight="1" x14ac:dyDescent="0.25"/>
    <row r="70" spans="1:44" ht="15" customHeight="1" x14ac:dyDescent="0.25"/>
    <row r="71" spans="1:44" ht="15" customHeight="1" x14ac:dyDescent="0.25"/>
  </sheetData>
  <mergeCells count="30">
    <mergeCell ref="A2:A7"/>
    <mergeCell ref="B2:E4"/>
    <mergeCell ref="F2:AP3"/>
    <mergeCell ref="F4:AP4"/>
    <mergeCell ref="D6:P6"/>
    <mergeCell ref="R6:AI6"/>
    <mergeCell ref="AJ6:AQ6"/>
    <mergeCell ref="D7:P7"/>
    <mergeCell ref="R7:AI7"/>
    <mergeCell ref="AJ7:AQ7"/>
    <mergeCell ref="A9:G9"/>
    <mergeCell ref="H9:N9"/>
    <mergeCell ref="O9:P9"/>
    <mergeCell ref="Q9:S9"/>
    <mergeCell ref="T9:V9"/>
    <mergeCell ref="W9:Y9"/>
    <mergeCell ref="Z9:AB9"/>
    <mergeCell ref="AC9:AE9"/>
    <mergeCell ref="AF9:AQ9"/>
    <mergeCell ref="AG11:AG14"/>
    <mergeCell ref="AG15:AG18"/>
    <mergeCell ref="AG19:AG21"/>
    <mergeCell ref="AG29:AG31"/>
    <mergeCell ref="AG32:AG36"/>
    <mergeCell ref="AG22:AG28"/>
    <mergeCell ref="AG37:AG42"/>
    <mergeCell ref="AG43:AG50"/>
    <mergeCell ref="AG51:AG56"/>
    <mergeCell ref="AG60:AG65"/>
    <mergeCell ref="AG57:AG59"/>
  </mergeCells>
  <dataValidations count="1">
    <dataValidation type="list" allowBlank="1" showErrorMessage="1" sqref="L15:L28 L31:L36 L43 L57:L65" xr:uid="{00000000-0002-0000-0000-000000000000}">
      <formula1>#REF!</formula1>
      <formula2>0</formula2>
    </dataValidation>
  </dataValidations>
  <pageMargins left="0.70833333333333304" right="0.70833333333333304" top="0.74791666666666701" bottom="0.74791666666666701" header="0.511811023622047" footer="0.511811023622047"/>
  <pageSetup paperSize="9" orientation="landscape" horizontalDpi="300" verticalDpi="300"/>
  <ignoredErrors>
    <ignoredError sqref="AF40 Y25 AB25" formula="1"/>
    <ignoredError sqref="M49"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L10"/>
  <sheetViews>
    <sheetView zoomScale="90" zoomScaleNormal="90" workbookViewId="0">
      <selection activeCell="G6" sqref="G6"/>
    </sheetView>
  </sheetViews>
  <sheetFormatPr baseColWidth="10" defaultColWidth="10.85546875" defaultRowHeight="14.25" x14ac:dyDescent="0.2"/>
  <cols>
    <col min="1" max="1" width="10.85546875" style="86"/>
    <col min="2" max="2" width="46.42578125" style="86" customWidth="1"/>
    <col min="3" max="6" width="10.85546875" style="86"/>
    <col min="7" max="7" width="16.7109375" style="86" customWidth="1"/>
    <col min="8" max="8" width="6" style="86" customWidth="1"/>
    <col min="9" max="12" width="54" style="86" customWidth="1"/>
    <col min="13" max="16384" width="10.85546875" style="86"/>
  </cols>
  <sheetData>
    <row r="2" spans="2:12" ht="15" x14ac:dyDescent="0.25">
      <c r="B2" s="191" t="s">
        <v>628</v>
      </c>
      <c r="C2" s="191"/>
      <c r="D2" s="191"/>
      <c r="E2" s="191"/>
      <c r="F2" s="191"/>
      <c r="G2" s="191"/>
      <c r="I2" s="191" t="s">
        <v>606</v>
      </c>
      <c r="J2" s="191"/>
      <c r="K2" s="191"/>
      <c r="L2" s="191"/>
    </row>
    <row r="3" spans="2:12" ht="45" x14ac:dyDescent="0.2">
      <c r="B3" s="102" t="s">
        <v>607</v>
      </c>
      <c r="C3" s="102" t="s">
        <v>608</v>
      </c>
      <c r="D3" s="102" t="s">
        <v>609</v>
      </c>
      <c r="E3" s="102" t="s">
        <v>610</v>
      </c>
      <c r="F3" s="102" t="s">
        <v>611</v>
      </c>
      <c r="G3" s="102" t="s">
        <v>612</v>
      </c>
      <c r="I3" s="103" t="s">
        <v>613</v>
      </c>
      <c r="J3" s="103" t="s">
        <v>614</v>
      </c>
      <c r="K3" s="103" t="s">
        <v>615</v>
      </c>
      <c r="L3" s="103" t="s">
        <v>616</v>
      </c>
    </row>
    <row r="4" spans="2:12" ht="72" customHeight="1" x14ac:dyDescent="0.2">
      <c r="B4" s="118" t="str">
        <f>+'Plan de acción 2024'!G37</f>
        <v>Seguimiento Plan Anual de mantenimiento de la infraetructura física  de la entidad y realizar el seguimiento de acuerdo al cronograma de actividades</v>
      </c>
      <c r="C4" s="121">
        <v>0</v>
      </c>
      <c r="D4" s="119">
        <f>+'Plan de acción 2024'!Y37</f>
        <v>0.22222222222222221</v>
      </c>
      <c r="E4" s="119">
        <f>+'Plan de acción 2024'!AB37</f>
        <v>0.26666666666666666</v>
      </c>
      <c r="F4" s="119">
        <f>+'Plan de acción 2024'!AE37</f>
        <v>0.33333333333333331</v>
      </c>
      <c r="G4" s="119">
        <f t="shared" ref="G4:G9" si="0">SUMIF(C4:F4,"&gt;0",C4:F4)</f>
        <v>0.82222222222222219</v>
      </c>
      <c r="I4" s="108" t="str">
        <f>IF('Plan de acción 2024'!AK37="","",'Plan de acción 2024'!AK37)</f>
        <v/>
      </c>
      <c r="J4" s="108" t="str">
        <f>IF('Plan de acción 2024'!AM37="","",'Plan de acción 2024'!AM37)</f>
        <v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v>
      </c>
      <c r="K4" s="108" t="str">
        <f>IF('Plan de acción 2024'!AO37="","",'Plan de acción 2024'!AO37)</f>
        <v>El indicador cumple parcialmente, ya que se ejecutaron 4 de las 5 actividades programadas.
El lavado de ventanales se realiza periódicamente a través del contrato de aseo con CLEAN BOGOTÁ, sin embargo, se recomienda recopilar evidencia de su cumplimiento. Se llevó a cabo la revisión de las barandas de seguridad, donde se identificó la necesidad de ajustar el nivel del apoyo de manos derecho entre el tercer y segundo piso, así como el cambio de chapas en la oficina de gerencia y la cocina.
Las actividades de mantenimiento del tejado del cuarto piso y pintura de muros fueron postergadas para el próximo trimestre debido a temas de contratación.
Se recomienda ejecutar los mantenimientos sugeridos tras la inspección de barandas, así como garantizar la realización del mantenimiento del tejado y la pintura en el siguiente trimestre.</v>
      </c>
      <c r="L4" s="108" t="str">
        <f>IF('Plan de acción 2024'!AQ37="","",'Plan de acción 2024'!AQ37)</f>
        <v xml:space="preserve">Se revisaron las evidencias aportadas por el proceso, donde se verificó la ejecución de las cinco actividades programadas. Las fumigaciones, recarga de extintores y lavado de tanques fueron respaldadas por el Contrato No. 24-0009, mientras que la limpieza de bajantes y el arreglo de guardas en escritorios y puertas fueron ejecutados a través del Contrato No. 24-0019.
El indicador se considera cumplido a satisfacción. No obstante, no se evidenció la ejecución de la actividad pendiente del trimestre anterior. Se recomienda al proceso realizar seguimiento y proporcionar un informe sobre su estado, garantizando así la ejecución de todas las actividades programadas. Para la próxima vigencia, se sugiere ajustar el cronograma de mantenimiento, priorizando las actividades postergadas yasegurando el cumplimiento. </v>
      </c>
    </row>
    <row r="5" spans="2:12" ht="72" customHeight="1" x14ac:dyDescent="0.2">
      <c r="B5" s="118" t="str">
        <f>+'Plan de acción 2024'!G38</f>
        <v>Informe semestral de seguimiento a la Inspección preoperativa del parque automotor de la Entidad</v>
      </c>
      <c r="C5" s="121">
        <v>0</v>
      </c>
      <c r="D5" s="119">
        <f>+'Plan de acción 2024'!Y38</f>
        <v>0.5</v>
      </c>
      <c r="E5" s="119">
        <v>0</v>
      </c>
      <c r="F5" s="119">
        <f>+'Plan de acción 2024'!AE38</f>
        <v>0.5</v>
      </c>
      <c r="G5" s="121">
        <f t="shared" si="0"/>
        <v>1</v>
      </c>
      <c r="I5" s="108" t="str">
        <f>IF('Plan de acción 2024'!AK38="","",'Plan de acción 2024'!AK38)</f>
        <v>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v>
      </c>
      <c r="J5" s="108" t="str">
        <f>IF('Plan de acción 2024'!AM38="","",'Plan de acción 2024'!AM38)</f>
        <v>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v>
      </c>
      <c r="K5" s="108" t="str">
        <f>IF('Plan de acción 2024'!AO38="","",'Plan de acción 2024'!AO38)</f>
        <v>Se revisaron las evidencias aportadas por el proceso, aunque el indicador no cuenta con seguimiento para este trimestre. No obstante, dicha documentación será tenida en cuenta para la evaluación y seguimiento en el próximo trimestre, garantizando la trazabilidad y continuidad en el monitoreo del cumplimiento del indicador.</v>
      </c>
      <c r="L5" s="108" t="str">
        <f>IF('Plan de acción 2024'!AQ38="","",'Plan de acción 2024'!AQ38)</f>
        <v>Se revisaron las evidencias aportadas por el proceso, donde se verificó que durante el segundo semestre del año se realizaron mantenimientos a los vehículos OHK-865, OFK-864, OFK-487, OFK-544 y OSM-114, los cuales fueron reportados mediante los formatos CSC-GRF-FR-05 y CSC-GRF-FR-10.
Asimismo, se evidencia la existencia de un informe y valoración del parque automotor elaborado por la empresa Pizano Echeverry y Asociados, en el cual se detalla el estado de cada uno de los vehículos.
El indicador se considera cumplido a satisfacción. Se recomienda al proceso continuar con el seguimiento periódico y garantizar la documentación de futuras inspecciones para mantener la trazabilidad y el adecuado mantenimiento del parque automotor.</v>
      </c>
    </row>
    <row r="6" spans="2:12" ht="72" customHeight="1" x14ac:dyDescent="0.2">
      <c r="B6" s="118" t="str">
        <f>+'Plan de acción 2024'!G39</f>
        <v>Elaborar y hacer seguimiento al estudio de la necesidad de compra de elementos de consumo y papelería de la entidad</v>
      </c>
      <c r="C6" s="121">
        <f>+'Plan de acción 2024'!V39</f>
        <v>0.25</v>
      </c>
      <c r="D6" s="119">
        <f>+'Plan de acción 2024'!Y39</f>
        <v>0.25</v>
      </c>
      <c r="E6" s="119">
        <f>+'Plan de acción 2024'!AB39</f>
        <v>0.25</v>
      </c>
      <c r="F6" s="119">
        <f>+'Plan de acción 2024'!AE39</f>
        <v>0.25</v>
      </c>
      <c r="G6" s="121">
        <f t="shared" si="0"/>
        <v>1</v>
      </c>
      <c r="I6" s="108" t="str">
        <f>IF('Plan de acción 2024'!AK39="","",'Plan de acción 2024'!AK39)</f>
        <v>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v>
      </c>
      <c r="J6" s="108" t="str">
        <f>IF('Plan de acción 2024'!AM39="","",'Plan de acción 2024'!AM39)</f>
        <v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v>
      </c>
      <c r="K6" s="108" t="str">
        <f>IF('Plan de acción 2024'!AO39="","",'Plan de acción 2024'!AO39)</f>
        <v>Se revisaron las evidencias aportadas por el proceso, verificando que las áreas de Contabilidad y Presupuesto, Subgerencia Administrativa y Financiera, y Atención al Cliente presentaron sus respectivas solicitudes de elementos a almacén. Cada una de estas áreas entregó el formato correspondiente, detallando los suministros requeridos. 
Durante el trimestre el indicador se considera cumplido . No obstante, se recomienda fomentar la participación de todas las áreas de la entidad en la presentación de solicitudes, con el objetivo de obtener un panorama más completo de las necesidades de suministro. Asimismo, se sugiere fortalecer el proceso de recepción, asegurando que cada solicitud sea firmada por el líder del proceso correspondiente para mejorar el control y la trazabilidad.</v>
      </c>
      <c r="L6" s="108" t="str">
        <f>IF('Plan de acción 2024'!AQ39="","",'Plan de acción 2024'!AQ39)</f>
        <v>Se evidencia que el proceso cumple con lo requerido, ya que se llevaron a cabo los siguientes contratos a través de la plataforma Colombia Compra Eficiente:
Contrato de Prestación de Servicios N° 24-0014 con Proveer Institucional SAS.
Contrato de Prestación de Servicios N° 24-0015 con Hardware Asesorías Software LTDA. 
El objeto de estos contratos fue la compra de útiles de oficina y papelería, de acuerdo con las necesidades de la vigencia, asegurando el adecuado y correcto funcionamiento de la Corporación Social de Cundinamarca.
Se recomienda mantener la documentación de estos procesos debidamente organizada y actualizada, garantizando la trazabilidad y transparencia en futuras adquisiciones.</v>
      </c>
    </row>
    <row r="7" spans="2:12" ht="72" customHeight="1" x14ac:dyDescent="0.2">
      <c r="B7" s="118" t="str">
        <f>+'Plan de acción 2024'!G40</f>
        <v>Actualizar semestralmente los inventarios  individuales de los funcionarios de la Entidad, los cuales deben estar firmados por el funcionario responsable.</v>
      </c>
      <c r="C7" s="121">
        <v>0</v>
      </c>
      <c r="D7" s="119">
        <f>+'Plan de acción 2024'!Y40</f>
        <v>0.5</v>
      </c>
      <c r="E7" s="119">
        <v>0</v>
      </c>
      <c r="F7" s="119">
        <f>+'Plan de acción 2024'!AE40</f>
        <v>0.5</v>
      </c>
      <c r="G7" s="121">
        <f t="shared" si="0"/>
        <v>1</v>
      </c>
      <c r="I7" s="108" t="str">
        <f>IF('Plan de acción 2024'!AK40="","",'Plan de acción 2024'!AK40)</f>
        <v>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v>
      </c>
      <c r="J7" s="108" t="str">
        <f>IF('Plan de acción 2024'!AM40="","",'Plan de acción 2024'!AM40)</f>
        <v>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v>
      </c>
      <c r="K7" s="108" t="str">
        <f>IF('Plan de acción 2024'!AO40="","",'Plan de acción 2024'!AO40)</f>
        <v>No se realiza seguimiento en este trimestre, ya que la actividad es de cumplimiento semestral. Se recomienda continuar con el proceso de recolección y verificación de la información, asegurando que la actualización semestral se realice dentro de los plazos establecidos.</v>
      </c>
      <c r="L7" s="108" t="str">
        <f>IF('Plan de acción 2024'!AQ40="","",'Plan de acción 2024'!AQ40)</f>
        <v>El indicador se cumple satisfactoriamente, garantizando la correcta actualización y control de los bienes asignados a los funcionarios. Para fortalecer la gestión en la próxima vigencia, se recomienda implementar un sistema digital de seguimiento de inventarios, que permita actualizaciones en tiempo real y facilite la verificación de los bienes.
Asimismo, se sugiere mantener el proceso de verificación y actualización en cada periodo semestral, asegurando una gestión eficiente y el adecuado control de los inventarios institucionales.</v>
      </c>
    </row>
    <row r="8" spans="2:12" ht="72" customHeight="1" x14ac:dyDescent="0.2">
      <c r="B8" s="118" t="str">
        <f>+'Plan de acción 2024'!G41</f>
        <v xml:space="preserve">Verificar los elementos de consumo y devolutivos de acuerdo al reporte generado por Novasoft frente al fisico. </v>
      </c>
      <c r="C8" s="121">
        <f>+'Plan de acción 2024'!V41</f>
        <v>0.25</v>
      </c>
      <c r="D8" s="119">
        <f>+'Plan de acción 2024'!Y41</f>
        <v>0.25</v>
      </c>
      <c r="E8" s="119">
        <f>+'Plan de acción 2024'!AB41</f>
        <v>0.25</v>
      </c>
      <c r="F8" s="119">
        <f>+'Plan de acción 2024'!AE41</f>
        <v>0</v>
      </c>
      <c r="G8" s="121">
        <f t="shared" si="0"/>
        <v>0.75</v>
      </c>
      <c r="I8" s="108" t="str">
        <f>IF('Plan de acción 2024'!AK41="","",'Plan de acción 2024'!AK41)</f>
        <v>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v>
      </c>
      <c r="J8" s="108" t="str">
        <f>IF('Plan de acción 2024'!AM41="","",'Plan de acción 2024'!AM41)</f>
        <v>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v>
      </c>
      <c r="K8" s="108" t="str">
        <f>IF('Plan de acción 2024'!AO41="","",'Plan de acción 2024'!AO41)</f>
        <v>El seguimiento realizado evidencia que el indicador de verificación de elementos devolutivos y de consumo se cumplió satisfactoriamente durante el tercer trimestre de 2024. Se constató que los registros de entradas y salidas fueron gestionados de manera adecuada, incluyendo detalles como descripción del elemento, cantidad y valor.
Para fortalecer la trazabilidad y control del inventario, se recomienda al proceso verificar la disponibilidad de un reporte que contemple la fecha de ingreso y salida de cada elemento, permitiendo un monitoreo más preciso y una mejor planificación en la gestión de los recursos.</v>
      </c>
      <c r="L8" s="108" t="str">
        <f>IF('Plan de acción 2024'!AQ41="","",'Plan de acción 2024'!AQ41)</f>
        <v>Se garantizó el cumplimiento del indicador mediante la ejecución de la interface mensual del almacén general durante el cuarto trimestre. Esta información fue gestionada de manera oportuna y remitida a las áreas correspondientes para su debido procesamiento. Además, de acuerdo con las evidencias reportadas severifica que se efectuó el cierre del año 2024, asegurando la consolidación de los movimientos de inventario y el adecuado control de los elementos devolutivos y de consumo.</v>
      </c>
    </row>
    <row r="9" spans="2:12" ht="72" customHeight="1" x14ac:dyDescent="0.2">
      <c r="B9" s="118" t="str">
        <f>+'Plan de acción 2024'!G42</f>
        <v>Elaborar y/o actualizar el Plan institucional de Gestión Ambiental y publicarlo en la página web de la Entidad</v>
      </c>
      <c r="C9" s="121">
        <f>+'Plan de acción 2024'!V42</f>
        <v>0</v>
      </c>
      <c r="D9" s="119">
        <f>+'Plan de acción 2024'!Y42</f>
        <v>4.5454545454545456E-2</v>
      </c>
      <c r="E9" s="119">
        <f>+'Plan de acción 2024'!AB42</f>
        <v>0.13636363636363635</v>
      </c>
      <c r="F9" s="119">
        <f>+'Plan de acción 2024'!AE42</f>
        <v>0.13636363636363635</v>
      </c>
      <c r="G9" s="121">
        <f t="shared" si="0"/>
        <v>0.31818181818181818</v>
      </c>
      <c r="I9" s="110" t="str">
        <f>IF('Plan de acción 2024'!AK42="","",'Plan de acción 2024'!AK42)</f>
        <v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v>
      </c>
      <c r="J9" s="110" t="str">
        <f>IF('Plan de acción 2024'!AM42="","",'Plan de acción 2024'!AM42)</f>
        <v>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v>
      </c>
      <c r="K9" s="110" t="str">
        <f>IF('Plan de acción 2024'!AO42="","",'Plan de acción 2024'!AO42)</f>
        <v>De acuerdo al seguimiento realizado al Plan Institucional de Gestión Ambiental (PIGA), se programó la ejecución de 11 actividades, de las cuales se llevaron a cabo 6, enfocadas en el ahorro de agua, ahorro de energía y campañas de sensibilización. Para mejorar el cumplimiento en futuros periodos, se recomienda revisar el PIGA para identificar las causas del incumplimiento, ajustar el cronograma según sea necesario y establecer medidas que garanticen la ejecución total de las actividades, incluyendo la asignación de recursos adecuados, la designación de responsables y la extensión de las campañas de sensibilización a los contratistas de la entidad.</v>
      </c>
      <c r="L9" s="110" t="str">
        <f>IF('Plan de acción 2024'!AQ42="","",'Plan de acción 2024'!AQ42)</f>
        <v>De acuerdo al seguimiento realizado y el cronograma del Plan Institucional de Gestión Ambiental (PIGA), se programó la ejecución de 11 actividades, de las cuales se llevaron a cabo 6, enfocadas en la sensibilización a través de campañas informativas y el ahorro de papel. No obstante, quedaron pendientes actividades como los comparativos semestrales de ahorro de agua y energía segundo semestre, así como el seguimiento a los puestos de trabajo. Como acción de mejora, se recomienda revisar el plan para identificar las causas del incumplimiento, ajustar el cronograma y proyectar actividades más viables, garantizando su ejecución mediante la asignación adecuada de recursos, la designación de responsables y la ampliación de las campañas de sensibilización a los contratistas de la entidad.</v>
      </c>
    </row>
    <row r="10" spans="2:12" ht="36" customHeight="1" x14ac:dyDescent="0.2">
      <c r="B10" s="105" t="s">
        <v>617</v>
      </c>
      <c r="C10" s="100">
        <f>AVERAGE(C4:C9)</f>
        <v>8.3333333333333329E-2</v>
      </c>
      <c r="D10" s="100">
        <f>AVERAGE(D4:D9)</f>
        <v>0.2946127946127946</v>
      </c>
      <c r="E10" s="100">
        <f>AVERAGE(E4:E9)</f>
        <v>0.1505050505050505</v>
      </c>
      <c r="F10" s="100">
        <f>AVERAGE(F4:F9)</f>
        <v>0.2866161616161616</v>
      </c>
      <c r="G10" s="100">
        <f>AVERAGE(G4:G9)</f>
        <v>0.81506734006734005</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12"/>
  <sheetViews>
    <sheetView topLeftCell="A3" zoomScale="90" zoomScaleNormal="90" workbookViewId="0">
      <selection activeCell="G4" sqref="G4"/>
    </sheetView>
  </sheetViews>
  <sheetFormatPr baseColWidth="10" defaultColWidth="10.85546875" defaultRowHeight="14.25" x14ac:dyDescent="0.2"/>
  <cols>
    <col min="1" max="1" width="5" style="86" customWidth="1"/>
    <col min="2" max="2" width="48.7109375" style="86" customWidth="1"/>
    <col min="3" max="6" width="10.85546875" style="86"/>
    <col min="7" max="7" width="15.42578125" style="86" customWidth="1"/>
    <col min="8" max="8" width="6" style="86" customWidth="1"/>
    <col min="9" max="12" width="60.28515625" style="86" customWidth="1"/>
    <col min="13" max="16384" width="10.85546875" style="86"/>
  </cols>
  <sheetData>
    <row r="2" spans="2:12" ht="15.75" x14ac:dyDescent="0.25">
      <c r="B2" s="192" t="s">
        <v>629</v>
      </c>
      <c r="C2" s="192"/>
      <c r="D2" s="192"/>
      <c r="E2" s="192"/>
      <c r="F2" s="192"/>
      <c r="G2" s="192"/>
      <c r="I2" s="192" t="s">
        <v>606</v>
      </c>
      <c r="J2" s="192"/>
      <c r="K2" s="192"/>
      <c r="L2" s="192"/>
    </row>
    <row r="3" spans="2:12" ht="45" x14ac:dyDescent="0.2">
      <c r="B3" s="102" t="s">
        <v>607</v>
      </c>
      <c r="C3" s="102" t="s">
        <v>608</v>
      </c>
      <c r="D3" s="102" t="s">
        <v>609</v>
      </c>
      <c r="E3" s="102" t="s">
        <v>610</v>
      </c>
      <c r="F3" s="102" t="s">
        <v>611</v>
      </c>
      <c r="G3" s="102" t="s">
        <v>612</v>
      </c>
      <c r="I3" s="103" t="s">
        <v>613</v>
      </c>
      <c r="J3" s="103" t="s">
        <v>614</v>
      </c>
      <c r="K3" s="103" t="s">
        <v>615</v>
      </c>
      <c r="L3" s="103" t="s">
        <v>616</v>
      </c>
    </row>
    <row r="4" spans="2:12" ht="62.25" customHeight="1" x14ac:dyDescent="0.2">
      <c r="B4" s="118" t="str">
        <f>+'Plan de acción 2024'!G43</f>
        <v xml:space="preserve">Elaborar, implementar y realizar seguimiento el Plan Institucional de Capacitación  (PIC) para los funcionarios de la CSC </v>
      </c>
      <c r="C4" s="119">
        <f>+'Plan de acción 2024'!V43</f>
        <v>0</v>
      </c>
      <c r="D4" s="119">
        <f>+'Plan de acción 2024'!Y43</f>
        <v>0.11764705882352941</v>
      </c>
      <c r="E4" s="119">
        <f>+'Plan de acción 2024'!AB43</f>
        <v>2.9411764705882353E-2</v>
      </c>
      <c r="F4" s="119">
        <f>+'Plan de acción 2024'!AE43</f>
        <v>0.11312217194570137</v>
      </c>
      <c r="G4" s="119">
        <f>SUMIF(C4:F4,"&gt;0",C4:F4)</f>
        <v>0.26018099547511314</v>
      </c>
      <c r="I4" s="108" t="str">
        <f>IF('Plan de acción 2024'!AK43="","",'Plan de acción 2024'!AK43)</f>
        <v>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v>
      </c>
      <c r="J4" s="108" t="str">
        <f>IF('Plan de acción 2024'!AM43="","",'Plan de acción 2024'!AM43)</f>
        <v>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v>
      </c>
      <c r="K4" s="108" t="str">
        <f>IF('Plan de acción 2024'!AO43="","",'Plan de acción 2024'!AO43)</f>
        <v>Se revisaron las evidencias aportadas por el proceso, verificando que, según el cronograma, estaban programadas dos capacitaciones, una sobre clima laboral y otra sobre inducción y reinducción. Se evidenció que la capacitación sobre clima laboral se llevó a cabo a través de varios talleres realizados durante la Semana de la Salud, respaldados con listas de asistencia y grabaciones.
El indicador presenta avances, sin embargo, la capacitación de inducción y reinducción no se ha realizado. Se recomienda aportar evidencia fotográfica de los eventos realizados y gestionar la ejecución de la capacitación pendiente para garantizar el cumplimiento total del cronograma de actividades del PIC.</v>
      </c>
      <c r="L4" s="108" t="str">
        <f>IF('Plan de acción 2024'!AQ43="","",'Plan de acción 2024'!AQ43)</f>
        <v xml:space="preserve"> se evidenció un cumplimiento parcial del indicador, ya que de las 13 capacitaciones programadas en el Plan Institucional de Capacitación (PIC), solo se llevaron a cabo 5, lo que refleja la necesidad de fortalecer la planificación y ejecución de las actividades de formación. Como acción de mejora para la próxima vigencia, se recomienda reprogramar las capacitaciones pendientes en el primer trimestre, establecer un cronograma con fechas y responsables, priorizar modalidades virtuales o híbridas para optimizar tiempos, realizar un seguimiento mensual al avance del PIC y fomentar la participación activa del personal, asegurando así el cumplimiento del indicador y el desarrollo de competencias en los funcionarios.</v>
      </c>
    </row>
    <row r="5" spans="2:12" ht="62.25" customHeight="1" x14ac:dyDescent="0.2">
      <c r="B5" s="118" t="str">
        <f>+'Plan de acción 2024'!G44</f>
        <v>Elaborar y realizar el seguimiento al Plan de Bienestar e incentivos de la CSC ajustado a los lineamientos normativos, conceptuales y dimensiones estratégicas adoptadas como resultado del diagnóstico institucional.</v>
      </c>
      <c r="C5" s="119">
        <f>+'Plan de acción 2024'!V44</f>
        <v>0.13793103448275862</v>
      </c>
      <c r="D5" s="119">
        <f>+'Plan de acción 2024'!Y44</f>
        <v>0.31034482758620691</v>
      </c>
      <c r="E5" s="119">
        <f>+'Plan de acción 2024'!AB44</f>
        <v>0.14367816091954025</v>
      </c>
      <c r="F5" s="119">
        <f>+'Plan de acción 2024'!AE44</f>
        <v>0.22068965517241379</v>
      </c>
      <c r="G5" s="119">
        <f t="shared" ref="G5:G11" si="0">SUMIF(C5:F5,"&gt;0",C5:F5)</f>
        <v>0.81264367816091954</v>
      </c>
      <c r="I5" s="108" t="str">
        <f>IF('Plan de acción 2024'!AK44="","",'Plan de acción 2024'!AK44)</f>
        <v>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v>
      </c>
      <c r="J5" s="108" t="str">
        <f>IF('Plan de acción 2024'!AM44="","",'Plan de acción 2024'!AM44)</f>
        <v>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v>
      </c>
      <c r="K5" s="108" t="str">
        <f>IF('Plan de acción 2024'!AO44="","",'Plan de acción 2024'!AO44)</f>
        <v>Se revisaron las evidencias aportadas por el proceso, verificando que de las seis actividades programadas, cinco fueron ejecutadas, quedando pendiente la actividad de integración del Día del Amor y la Amistad.
El indicador presenta avances significativos, aunque no se cumplió en su totalidad. Se recomienda reprogramar la actividad pendiente y garantizar su ejecución en el próximo período para dar cumplimiento integral al cronograma de bienestar.</v>
      </c>
      <c r="L5" s="108" t="str">
        <f>IF('Plan de acción 2024'!AQ44="","",'Plan de acción 2024'!AQ44)</f>
        <v>Se revisaron las evidencias aportadas por el proceso, verificando que de las diez actividades programadas, ocho fueron ejecutadas, quedando pendientes las actividades de Transformación Digital y el Taller de Pensionados, programado para realizarse dos veces en el año, de las cuales solo se llevó a cabo una en junio.
El indicador presenta avances significativos, destacándose la ejecución de nuevas actividades como el Día de los Niños y el Coaching de Desarrollo Personal. Se recomienda revisar la programación de las actividades pendientes y definir su ejecución en la próxima vigencia para garantizar el cumplimiento integral del cronograma de bienestar.</v>
      </c>
    </row>
    <row r="6" spans="2:12" ht="62.25" customHeight="1" x14ac:dyDescent="0.2">
      <c r="B6" s="118" t="str">
        <f>+'Plan de acción 2024'!G45</f>
        <v>Ejecutar del Programa de Seguridad y Salud en el Trabajo en CSC de conformidad con las disposiciones normativas vigentes.</v>
      </c>
      <c r="C6" s="119">
        <f>+'Plan de acción 2024'!V45</f>
        <v>0.14705882352941177</v>
      </c>
      <c r="D6" s="119">
        <f>+'Plan de acción 2024'!Y45</f>
        <v>0.23823529411764707</v>
      </c>
      <c r="E6" s="119">
        <f>+'Plan de acción 2024'!AB45</f>
        <v>0.26470588235294118</v>
      </c>
      <c r="F6" s="119">
        <f>+'Plan de acción 2024'!AE45</f>
        <v>0.23823529411764707</v>
      </c>
      <c r="G6" s="119">
        <f t="shared" si="0"/>
        <v>0.88823529411764712</v>
      </c>
      <c r="I6" s="108" t="str">
        <f>IF('Plan de acción 2024'!AK45="","",'Plan de acción 2024'!AK45)</f>
        <v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v>
      </c>
      <c r="J6" s="108" t="str">
        <f>IF('Plan de acción 2024'!AM45="","",'Plan de acción 2024'!AM45)</f>
        <v>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v>
      </c>
      <c r="K6" s="108" t="str">
        <f>IF('Plan de acción 2024'!AO45="","",'Plan de acción 2024'!AO45)</f>
        <v>Se revisaron las evidencias aportadas por el proceso, verificando que de las nueve actividades programadas, todas fueron ejecutadas. Sin embargo, se identificó que los exámenes médicos y algunas capacitaciones de la Semana de la Salud no se realizaron dentro del trimestre, pero sí en el mes siguiente, lo que permite considerar el indicador como cumplido.
Se recomienda mantener un seguimiento más preciso de la ejecución de las actividades dentro del trimestre programado para garantizar una mejor planificación y cumplimiento del cronograma de Seguridad y Salud en el Trabajo.</v>
      </c>
      <c r="L6" s="108" t="str">
        <f>IF('Plan de acción 2024'!AQ45="","",'Plan de acción 2024'!AQ45)</f>
        <v>Se revisaron las evidencias aportadas por el proceso, verificando que de las diez actividades programadas, nueve fueron ejecutadas, quedando pendiente la actualización de documentos del sistema.
Aunque algunas actividades no se cumplieron en las fechas pactadas inicialmente, se logró ejecutar la mayoría de ellas a lo largo del año, lo que refleja un avance significativo en la gestión de Seguridad y Salud en el Trabajo. Se recomienda priorizar la actualización documental en la próxima vigencia y ajustar la programación del plan para evitar retrasos e incumplimientos, asegurando una mejor planificación y cumplimiento de los plazos establecidos.</v>
      </c>
    </row>
    <row r="7" spans="2:12" ht="62.25" customHeight="1" x14ac:dyDescent="0.2">
      <c r="B7" s="118" t="str">
        <f>+'Plan de acción 2024'!G46</f>
        <v>Seguimiento al cumplimiento del cronograma de liquidación de nómina de funcionarios</v>
      </c>
      <c r="C7" s="119">
        <f>+'Plan de acción 2024'!V46</f>
        <v>0.25</v>
      </c>
      <c r="D7" s="119">
        <f>+'Plan de acción 2024'!Y46</f>
        <v>0.25</v>
      </c>
      <c r="E7" s="119">
        <f>+'Plan de acción 2024'!AB46</f>
        <v>0.25</v>
      </c>
      <c r="F7" s="119">
        <f>+'Plan de acción 2024'!AE46</f>
        <v>0.25</v>
      </c>
      <c r="G7" s="119">
        <f t="shared" si="0"/>
        <v>1</v>
      </c>
      <c r="I7" s="108" t="str">
        <f>IF('Plan de acción 2024'!AK46="","",'Plan de acción 2024'!AK46)</f>
        <v>El seguimiento a la nómina durante el primer trimestre de 2024 se realizó según lo planificado, cumpliendo con las fechas establecidas. No se presentaron solicitudes que afentaran el pago de acuerdo a lo programado.</v>
      </c>
      <c r="J7" s="108" t="str">
        <f>IF('Plan de acción 2024'!AM46="","",'Plan de acción 2024'!AM46)</f>
        <v>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v>
      </c>
      <c r="K7" s="108" t="str">
        <f>IF('Plan de acción 2024'!AO46="","",'Plan de acción 2024'!AO46)</f>
        <v xml:space="preserve">
El indicador alcanzó el 100% de la meta establecida para el trimestre, evidenciando el cumplimiento del seguimiento a la nómina conforme al cronograma establecido. Las fechas de ejecución programadas fueron cumplidas mensualmente, asegurando la correcta gestión del proceso. Como acción de mejora, se recomienda mantener el monitoreo constante y evaluar posibles oportunidades de optimización en la gestión de la nómina para fortalecer la eficiencia operativa.</v>
      </c>
      <c r="L7" s="108" t="str">
        <f>IF('Plan de acción 2024'!AQ46="","",'Plan de acción 2024'!AQ46)</f>
        <v>El seguimiento a la nómina se llevó a cabo conforme al cronograma establecido, garantizando la gestión oportuna de las novedades en el sistema NOVASOFT. Se evidencia un cumplimiento del 100% para el cuarto trimestre, reflejando una administración eficiente del proceso. Como acción de mejora para la próxima vigencia, se recomienda optimizar los mecanismos de monitoreo, fortalecer la gestión de novedades y evaluar estrategias que agilicen el procesamiento de incapacidades, ingresos y liquidaciones, asegurando una mayor eficiencia y efectividad en la administración de la nómina.</v>
      </c>
    </row>
    <row r="8" spans="2:12" ht="62.25" customHeight="1" x14ac:dyDescent="0.2">
      <c r="B8" s="118" t="str">
        <f>+'Plan de acción 2024'!G47</f>
        <v>Realizar trámite de recobro de incapacidades ante las EPSs</v>
      </c>
      <c r="C8" s="119">
        <f>+'Plan de acción 2024'!V47</f>
        <v>0.25</v>
      </c>
      <c r="D8" s="119">
        <f>+'Plan de acción 2024'!Y47</f>
        <v>0.25</v>
      </c>
      <c r="E8" s="119">
        <f>+'Plan de acción 2024'!AB47</f>
        <v>0.25</v>
      </c>
      <c r="F8" s="119">
        <f>+'Plan de acción 2024'!AE47</f>
        <v>0</v>
      </c>
      <c r="G8" s="119">
        <f t="shared" si="0"/>
        <v>0.75</v>
      </c>
      <c r="I8" s="108" t="str">
        <f>IF('Plan de acción 2024'!AK47="","",'Plan de acción 2024'!AK47)</f>
        <v>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v>
      </c>
      <c r="J8" s="108" t="str">
        <f>IF('Plan de acción 2024'!AM47="","",'Plan de acción 2024'!AM47)</f>
        <v>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v>
      </c>
      <c r="K8" s="108" t="str">
        <f>IF('Plan de acción 2024'!AO47="","",'Plan de acción 2024'!AO47)</f>
        <v>Se evidenció un seguimiento adecuado al proceso de radicación de incapacidades ante las EPS y ARL correspondientes. De las cuatro incapacidades reportadas, dos fueron canceladas en agosto, mientras que las otras dos están pendientes de pago, con gestión en curso y compromiso de cancelación antes del 15 de octubre. Se recomienda continuar con el monitoreo y verificación del cumplimiento de los pagos pendientes, asegurando que los recobros se realicen dentro de los tiempos establecidos y evitando acumulaciones en periodos futuros que puedan afectar el flujo financiero de la entidad.</v>
      </c>
      <c r="L8" s="108" t="str">
        <f>IF('Plan de acción 2024'!AQ47="","",'Plan de acción 2024'!AQ47)</f>
        <v>De acuerdo con las evidencias revisadas, se presentó una nueva incapacidad en diciembre, pero no se evidencia que el proceso haya realizado la radicación correspondiente ante la EPS, lo que puede generar retrasos en la gestión del recobro.
Asimismo, no se observa seguimiento sobre el pago de las dos incapacidades pendientes del trimestre anterior, lo que deja incertidumbre sobre el estado de estos recobros.
Se recomienda realizar la radicación de la incapacidad reciente lo antes posible y verificar el estado de las incapacidades pendientes, asegurando que los pagos hayan sido efectuados y evitando acumulaciones que puedan afectar la gestión financiera y administrativa de la entidad</v>
      </c>
    </row>
    <row r="9" spans="2:12" ht="62.25" customHeight="1" x14ac:dyDescent="0.2">
      <c r="B9" s="118" t="str">
        <f>+'Plan de acción 2024'!G48</f>
        <v>Realizar las evaluaciones de desempeño y de rendimiento laboral de la CSC</v>
      </c>
      <c r="C9" s="119">
        <v>0</v>
      </c>
      <c r="D9" s="119">
        <f>+'Plan de acción 2024'!Y48</f>
        <v>0</v>
      </c>
      <c r="E9" s="119">
        <f>+'Plan de acción 2024'!AB48</f>
        <v>0.5</v>
      </c>
      <c r="F9" s="119">
        <v>0</v>
      </c>
      <c r="G9" s="119">
        <f t="shared" si="0"/>
        <v>0.5</v>
      </c>
      <c r="I9" s="108" t="str">
        <f>IF('Plan de acción 2024'!AK48="","",'Plan de acción 2024'!AK48)</f>
        <v>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v>
      </c>
      <c r="J9" s="108" t="str">
        <f>IF('Plan de acción 2024'!AM48="","",'Plan de acción 2024'!AM48)</f>
        <v>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v>
      </c>
      <c r="K9" s="108" t="str">
        <f>IF('Plan de acción 2024'!AO48="","",'Plan de acción 2024'!AO48)</f>
        <v>Se revisaron las evidencias aportadas por el proceso, constatando que se realizaron seis seguimientos en las áreas de Gerencia, Atención al Cliente, Cartera, Créditos, Subgerencia Administrativa y Subgerencia Corporativa.
El indicador muestra avances en su cumplimiento; sin embargo, se recomienda formalizar el formato en la ruta de calidad, asegurando que se diligencie de manera completa, incluyendo la dependencia evaluada y la fecha del seguimiento, con el fin de fortalecer la trazabilidad y estandarización del proceso.</v>
      </c>
      <c r="L9" s="108" t="str">
        <f>IF('Plan de acción 2024'!AQ48="","",'Plan de acción 2024'!AQ48)</f>
        <v>Si bien este trimestre no contemplaba seguimiento programado, se verificó la realización de tres seguimeintos a evaluaciones finales en las áreas de Cartera, Subgerencia Corporativa y Subgerencia Administrativa, las cuales, presumiblemente, corresponden a personas en período de prueba.
Se recomienda formalizar el formato en la ruta de calidad, asegurando que se diligencie la dependencia evaluada y la fecha del seguimiento, con el objetivo de fortalecer el control y la trazabilidad del proceso.</v>
      </c>
    </row>
    <row r="10" spans="2:12" ht="62.25" customHeight="1" x14ac:dyDescent="0.2">
      <c r="B10" s="118" t="str">
        <f>+'Plan de acción 2024'!G49</f>
        <v>Realizar seguimiento al autodiagnóstico de Talento Humano fortaleciendo las rutas con menor calificación</v>
      </c>
      <c r="C10" s="119">
        <v>0</v>
      </c>
      <c r="D10" s="119">
        <v>0</v>
      </c>
      <c r="E10" s="119">
        <v>0</v>
      </c>
      <c r="F10" s="119">
        <f>+'Plan de acción 2024'!AE49</f>
        <v>1</v>
      </c>
      <c r="G10" s="119">
        <f t="shared" si="0"/>
        <v>1</v>
      </c>
      <c r="I10" s="108" t="str">
        <f>IF('Plan de acción 2024'!AK49="","",'Plan de acción 2024'!AK49)</f>
        <v>Para este trimestre el indicador no tenía nada programado, sin embargo, se evidencia que los puntajes obtenidos en la Ruta del Servicio y la Ruta de la Felicidad indican que hay oportunidades significativas para mejorar en estas áreas.</v>
      </c>
      <c r="J10" s="108" t="str">
        <f>IF('Plan de acción 2024'!AM49="","",'Plan de acción 2024'!AM49)</f>
        <v>Durante este trimestre, el indicador no tenía actividades programadas. Sin embargo, se recuerda al proceso la importancia de iniciar el diligenciamiento del autodiagnóstico, con el fin de evitar posibles incumplimientos en el próximo trimestre.</v>
      </c>
      <c r="K10" s="108" t="str">
        <f>IF('Plan de acción 2024'!AO49="","",'Plan de acción 2024'!AO49)</f>
        <v>Aunque este trimestre no se tenía seguimiento programado, se revisaron las evidencias aportadas por el proceso y se destacan las acciones implementadas para fortalecer competencias con baja calificación, como la Ruta del Servicio.
Sin embargo, se recomienda iniciar oportunamente con el diligenciamiento del autodiagnóstico, con el fin de evitar retrasos en el próximo trimestre y garantizar el cumplimiento del indicador dentro de los plazos establecidos.</v>
      </c>
      <c r="L10" s="108" t="str">
        <f>IF('Plan de acción 2024'!AQ49="","",'Plan de acción 2024'!AQ49)</f>
        <v>De acuerdo con las evidencias aportadas, se estable que el proceso desarrolló la medición del autodiagnóstico en el último trimestre de 2024, obteniendo un resultado de 89 puntos, lo que indica que se cumple con la meta del indicador, establecida en más de 80 puntos.
Se recomienda implementar acciones enfocadas en fortalecer la Ruta del Servicio, que fue la de menor puntaje, y continuar con estrategias que permitan mantener y mejorar las demás rutas, asegurando así el fortalecimiento continuo de la política de talento humano en la entidad.</v>
      </c>
    </row>
    <row r="11" spans="2:12" ht="62.25" customHeight="1" x14ac:dyDescent="0.2">
      <c r="B11" s="118" t="str">
        <f>+'Plan de acción 2024'!G50</f>
        <v>Suscripción de los acuerdos de gestión y seguimiento a su cumplimiento</v>
      </c>
      <c r="C11" s="119">
        <f>+'Plan de acción 2024'!V50</f>
        <v>0.5</v>
      </c>
      <c r="D11" s="119">
        <v>0</v>
      </c>
      <c r="E11" s="119">
        <f>+'Plan de acción 2024'!AB50</f>
        <v>0.5</v>
      </c>
      <c r="F11" s="119">
        <v>0</v>
      </c>
      <c r="G11" s="119">
        <f t="shared" si="0"/>
        <v>1</v>
      </c>
      <c r="I11" s="110" t="str">
        <f>IF('Plan de acción 2024'!AK50="","",'Plan de acción 2024'!AK50)</f>
        <v>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v>
      </c>
      <c r="J11" s="110" t="str">
        <f>IF('Plan de acción 2024'!AM50="","",'Plan de acción 2024'!AM50)</f>
        <v>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v>
      </c>
      <c r="K11" s="110" t="str">
        <f>IF('Plan de acción 2024'!AO50="","",'Plan de acción 2024'!AO50)</f>
        <v>El proceso informa que los acuerdos de gestión se están implementando y que el seguimiento al primer semestre se encuentra en desarrollo, con entrega completa programada para el próximo trimestre.
Dado que el seguimiento aún no ha finalizado, se realizará la verificación correspondiente en el siguiente período. Se recomienda recopilar y organizar las evidencias con anticipación para garantizar la presentación oportuna y sin retrasos de los informes de seguimiento</v>
      </c>
      <c r="L11" s="110" t="str">
        <f>IF('Plan de acción 2024'!AQ50="","",'Plan de acción 2024'!AQ50)</f>
        <v>Se evidenció un cumplimiento parcial del indicador, dado que, aunque se han realizado seguimientos y se cuenta con evidencias de los acuerdos de gestión del primer semestre de 2024, aún falta completar el seguimiento de los acuerdos correspondientes a Contabilidad y Presupuesto, así como el de la Unidad de Cartera. Se recomienda completar estos seguimientos pendientes y dar inicio a la evaluación final de los acuerdos de 2024, además de la concertación de los acuerdos de gestión para el año 2025, asegurando su cumplimiento y alineación con los objetivos estratégicos de la entidad.</v>
      </c>
    </row>
    <row r="12" spans="2:12" ht="25.5" customHeight="1" x14ac:dyDescent="0.2">
      <c r="B12" s="105" t="s">
        <v>617</v>
      </c>
      <c r="C12" s="100">
        <f>+AVERAGE(C4:C11)</f>
        <v>0.1606237322515213</v>
      </c>
      <c r="D12" s="100">
        <f>+AVERAGE(D4:D11)</f>
        <v>0.14577839756592292</v>
      </c>
      <c r="E12" s="100">
        <f>+AVERAGE(E4:E11)</f>
        <v>0.24222447599729546</v>
      </c>
      <c r="F12" s="100">
        <f>+AVERAGE(F4:F11)</f>
        <v>0.22775589015447029</v>
      </c>
      <c r="G12" s="100">
        <f>+AVERAGE(G4:G11)</f>
        <v>0.77638249596921005</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10"/>
  <sheetViews>
    <sheetView zoomScale="90" zoomScaleNormal="90" workbookViewId="0">
      <selection activeCell="C10" sqref="C10:F10"/>
    </sheetView>
  </sheetViews>
  <sheetFormatPr baseColWidth="10" defaultColWidth="10.85546875" defaultRowHeight="14.25" x14ac:dyDescent="0.2"/>
  <cols>
    <col min="1" max="1" width="5.42578125" style="86" customWidth="1"/>
    <col min="2" max="2" width="48.42578125" style="86" customWidth="1"/>
    <col min="3" max="6" width="10.85546875" style="86"/>
    <col min="7" max="7" width="17.140625" style="86" customWidth="1"/>
    <col min="8" max="8" width="6" style="86" customWidth="1"/>
    <col min="9" max="12" width="60.7109375" style="86" customWidth="1"/>
    <col min="13" max="16384" width="10.85546875" style="86"/>
  </cols>
  <sheetData>
    <row r="2" spans="2:12" ht="15" x14ac:dyDescent="0.25">
      <c r="B2" s="191" t="s">
        <v>630</v>
      </c>
      <c r="C2" s="191"/>
      <c r="D2" s="191"/>
      <c r="E2" s="191"/>
      <c r="F2" s="191"/>
      <c r="G2" s="191"/>
      <c r="I2" s="191" t="s">
        <v>606</v>
      </c>
      <c r="J2" s="191"/>
      <c r="K2" s="191"/>
      <c r="L2" s="191"/>
    </row>
    <row r="3" spans="2:12" ht="45.75" thickBot="1" x14ac:dyDescent="0.25">
      <c r="B3" s="102" t="s">
        <v>607</v>
      </c>
      <c r="C3" s="102" t="s">
        <v>608</v>
      </c>
      <c r="D3" s="102" t="s">
        <v>609</v>
      </c>
      <c r="E3" s="102" t="s">
        <v>610</v>
      </c>
      <c r="F3" s="102" t="s">
        <v>611</v>
      </c>
      <c r="G3" s="102" t="s">
        <v>612</v>
      </c>
      <c r="I3" s="103" t="s">
        <v>613</v>
      </c>
      <c r="J3" s="103" t="s">
        <v>614</v>
      </c>
      <c r="K3" s="103" t="s">
        <v>615</v>
      </c>
      <c r="L3" s="103" t="s">
        <v>616</v>
      </c>
    </row>
    <row r="4" spans="2:12" ht="78.75" customHeight="1" thickBot="1" x14ac:dyDescent="0.25">
      <c r="B4" s="120" t="str">
        <f>+'Plan de acción 2024'!H51</f>
        <v xml:space="preserve">Porcentaje de ejecución presupuesto de Ingresos </v>
      </c>
      <c r="C4" s="119">
        <f>+'Plan de acción 2024'!V51</f>
        <v>0.18879364354420305</v>
      </c>
      <c r="D4" s="119">
        <f>+'Plan de acción 2024'!Y51</f>
        <v>0.20849651158397484</v>
      </c>
      <c r="E4" s="119">
        <f>+'Plan de acción 2024'!AB51</f>
        <v>0.2342299614947623</v>
      </c>
      <c r="F4" s="119">
        <f>+'Plan de acción 2024'!AE51</f>
        <v>0.24694841156576203</v>
      </c>
      <c r="G4" s="119">
        <f t="shared" ref="G4:G9" si="0">SUMIF(C4:F4,"&gt;0",C4:F4)</f>
        <v>0.87846852818870214</v>
      </c>
      <c r="I4" s="108" t="str">
        <f>IF('Plan de acción 2024'!AK51="","",'Plan de acción 2024'!AK51)</f>
        <v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J4" s="108" t="str">
        <f>IF('Plan de acción 2024'!AM51="","",'Plan de acción 2024'!AM51)</f>
        <v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K4" s="108" t="str">
        <f>IF('Plan de acción 2024'!AO51="","",'Plan de acción 2024'!AO51)</f>
        <v>El recaudo presupuestal durante el tercer trimestre muestra un cumplimiento del 93.69%, equivalente a $11.304.521.120 frente a los $12.065.622.442 proyectados en el PAC 2024. Aunque el porcentaje de cumplimiento es alto, el no alcanzar el 100% puede impactar la ejecución de gastos planificados para el período.
Este resultado podría deberse a demoras en la gestión de cobro, menores ingresos de los esperados o ajustes en la programación de pagos. Para optimizar el recaudo y evitar impactos en la estabilidad financiera, se recomienda analizar las causas de la brecha del 6.31% y comparar el comportamiento de ingresos con períodos anteriores, con el fin de establecer estrategias que permitan recuperar el porcentaje faltante y cumplir las metas presupuestales del año.</v>
      </c>
      <c r="L4" s="108" t="str">
        <f>IF('Plan de acción 2024'!AQ51="","",'Plan de acción 2024'!AQ51)</f>
        <v>Durante el cuarto trimestre, se programó un recaudo de $12.155.550.314, alcanzándose un ingreso efectivo de $12.007.175.367, lo que representa un cumplimiento del 99%.
Este resultado refleja un alto nivel de cumplimiento, lo que indica una adecuada gestión del recaudo. Sin embargo, persiste una ligera brecha del 1%, por lo que se recomienda analizar los factores que generaron la diferencia y fortalecer las estrategias de cierre de recaudo. Esto permitirá asegurar el cumplimiento total de la meta y optimizar la planificación financiera para la próxima vigencia.</v>
      </c>
    </row>
    <row r="5" spans="2:12" ht="78.75" customHeight="1" thickBot="1" x14ac:dyDescent="0.25">
      <c r="B5" s="120" t="str">
        <f>+'Plan de acción 2024'!H52</f>
        <v>Porcentaje de ejecución presupuesto de Gastos</v>
      </c>
      <c r="C5" s="119">
        <f>+'Plan de acción 2024'!V52</f>
        <v>9.2082012259101231E-2</v>
      </c>
      <c r="D5" s="119">
        <f>+'Plan de acción 2024'!Y52</f>
        <v>0.10071076811300711</v>
      </c>
      <c r="E5" s="119">
        <f>+'Plan de acción 2024'!AB52</f>
        <v>0.38428563344233313</v>
      </c>
      <c r="F5" s="119">
        <f>+'Plan de acción 2024'!AE52</f>
        <v>0.33557511705594673</v>
      </c>
      <c r="G5" s="119">
        <f t="shared" si="0"/>
        <v>0.91265353087038825</v>
      </c>
      <c r="I5" s="108" t="str">
        <f>IF('Plan de acción 2024'!AK52="","",'Plan de acción 2024'!AK52)</f>
        <v>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v>
      </c>
      <c r="J5" s="108" t="str">
        <f>IF('Plan de acción 2024'!AM52="","",'Plan de acción 2024'!AM52)</f>
        <v>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v>
      </c>
      <c r="K5" s="108" t="str">
        <f>IF('Plan de acción 2024'!AO52="","",'Plan de acción 2024'!AO52)</f>
        <v>Según el PAC 2024, se tenía programada una ejecución de gastos por $12.065.622.442, pero se ejecutaron $18.546.581.453, lo que representa una sobreejecución del 53.73% con respecto a lo presupuestado.
Este resultado refleja un desfase significativo en la planificación del gasto, lo que podría afectar la disponibilidad de recursos en los próximos trimestres. Se recomienda analizar las razones de esta sobreejecución, revisar la distribución del presupuesto restante y ajustar la planificación financiera para garantizar un uso eficiente de los recursos y evitar posibles desbalances en la vigencia actual.</v>
      </c>
      <c r="L5" s="108" t="str">
        <f>IF('Plan de acción 2024'!AQ52="","",'Plan de acción 2024'!AQ52)</f>
        <v>Durante el cuarto trimestre, se tenía programada una ejecución de gastos por $12.155.550.314, sin embargo, se ejecutaron $16.316.400.880, lo que representa una sobreejecución del 34.24% en este periodo.
Si bien en los dos últimos trimestres se sobrepasó la ejecución de gastos, en los primeros trimestres del año no se alcanzó a ejecutar todo lo proyectado. No obstante, en el balance anual, la ejecución total del presupuesto alcanzó el 91% de lo programado, lo que refleja un alto nivel de cumplimiento.
Se recomienda revisar la distribución del gasto durante la vigencia, con el objetivo de evitar acumulaciones en los trimestres finales y lograr una ejecución más equilibrada a lo largo del año, optimizando el uso de los recursos y garantizando una planificación financiera más estable.</v>
      </c>
    </row>
    <row r="6" spans="2:12" ht="78.75" customHeight="1" thickBot="1" x14ac:dyDescent="0.25">
      <c r="B6" s="120" t="str">
        <f>+'Plan de acción 2024'!H53</f>
        <v xml:space="preserve"> Elaboración de Informes Contables y Presupuestales rendidos a los entes de control con periodicidad  - trimestral /Semestral y anual</v>
      </c>
      <c r="C6" s="119">
        <f>+'Plan de acción 2024'!V53</f>
        <v>0.25</v>
      </c>
      <c r="D6" s="119">
        <f>+'Plan de acción 2024'!Y53</f>
        <v>0.25</v>
      </c>
      <c r="E6" s="119">
        <f>+'Plan de acción 2024'!AB53</f>
        <v>0.25</v>
      </c>
      <c r="F6" s="119">
        <f>+'Plan de acción 2024'!AE53</f>
        <v>0.25</v>
      </c>
      <c r="G6" s="119">
        <f t="shared" si="0"/>
        <v>1</v>
      </c>
      <c r="I6" s="108" t="str">
        <f>IF('Plan de acción 2024'!AK53="","",'Plan de acción 2024'!AK53)</f>
        <v>La remisión de informes a los entes de control durante el primer trimestre de 2024 se ha realizado de manera adecuada y oportuna, cumpliendo con los requisitos establecidos y asegurando la transparencia y responsabilidad en la gestión de la entidad.</v>
      </c>
      <c r="J6" s="108" t="str">
        <f>IF('Plan de acción 2024'!AM53="","",'Plan de acción 2024'!AM53)</f>
        <v>La remisión de informes a los entes de control durante el segundo trimestre de 2024 se ha realizado de manera adecuada y oportuna, cumpliendo con los requisitos establecidos y asegurando la transparencia y responsabilidad en la gestión de la entidad.</v>
      </c>
      <c r="K6" s="108" t="str">
        <f>IF('Plan de acción 2024'!AO53="","",'Plan de acción 2024'!AO53)</f>
        <v>El indicador evidencia el cumplimiento en la entrega de los informes requeridos. Se revisaron las evidencias aportadas por el proceso, verificando la presentación de los informes Cascada de Recursos, Ejecución Presupuestal y CUIPO. No obstante, se recomienda ajustar las evidencias relacionadas con la Cascada de Recursos, garantizando una documentación más precisa y una mejor trazabilidad para futuros reportes.</v>
      </c>
      <c r="L6" s="108" t="str">
        <f>IF('Plan de acción 2024'!AQ53="","",'Plan de acción 2024'!AQ53)</f>
        <v>El indicador cumple con la meta establecida, ya que la remisión de informes a los entes de control durante el año 2024 se ha realizado de manera adecuada y oportuna, cumpliendo con los requisitos normativos y asegurando la transparencia en la gestión de la entidad.
Este cumplimiento refleja el compromiso con la rendición de cuentas y el seguimiento de los lineamientos establecidos. Para la próxima vigencia, se recomienda mantener el seguimiento estricto a los plazos de entrega y fortalecer los mecanismos de verificación de la información reportada, garantizando su precisión y consistencia.</v>
      </c>
    </row>
    <row r="7" spans="2:12" ht="78.75" customHeight="1" thickBot="1" x14ac:dyDescent="0.25">
      <c r="B7" s="120" t="str">
        <f>+'Plan de acción 2024'!H54</f>
        <v>Conciliaciones Bancarias</v>
      </c>
      <c r="C7" s="119">
        <f>+'Plan de acción 2024'!V54</f>
        <v>0.25</v>
      </c>
      <c r="D7" s="119">
        <f>+'Plan de acción 2024'!Y54</f>
        <v>0.25</v>
      </c>
      <c r="E7" s="119">
        <f>+'Plan de acción 2024'!AB54</f>
        <v>0.25</v>
      </c>
      <c r="F7" s="119">
        <f>+'Plan de acción 2024'!AE54</f>
        <v>0.25</v>
      </c>
      <c r="G7" s="119">
        <f t="shared" si="0"/>
        <v>1</v>
      </c>
      <c r="I7" s="108" t="str">
        <f>IF('Plan de acción 2024'!AK54="","",'Plan de acción 2024'!AK54)</f>
        <v>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v>
      </c>
      <c r="J7" s="108" t="str">
        <f>IF('Plan de acción 2024'!AM54="","",'Plan de acción 2024'!AM54)</f>
        <v>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v>
      </c>
      <c r="K7" s="108" t="str">
        <f>IF('Plan de acción 2024'!AO54="","",'Plan de acción 2024'!AO54)</f>
        <v>Las evidencias aportadas confirman la conciliación de los meses de julio, agosto y septiembre para todos los bancos activos en la entidad, reflejando un adecuado seguimiento a los movimientos bancarios. Se recomienda mantener la periodicidad en la conciliación y fortalecer la documentación de respaldo, garantizando la trazabilidad y confiabilidad de los registros contables.</v>
      </c>
      <c r="L7" s="108" t="str">
        <f>IF('Plan de acción 2024'!AQ54="","",'Plan de acción 2024'!AQ54)</f>
        <v>Durante el cuarto trimestre, el proceso logró realizar las conciliaciones bancarias de las cuentas activas, asegurando la alineación de los registros contables con los estados bancarios. Sin embargo, se identificaron diferencias en algunos registros, incluyendo ingresos pendientes de contabilización y transacciones sin identificación clara, lo que podría afectar la precisión de los informes financieros. Se recomienda priorizar la regularización de estos registros, verificando la trazabilidad de cada transacción y fortaleciendo los controles para evitar inconsistencias en períodos futuros.</v>
      </c>
    </row>
    <row r="8" spans="2:12" ht="78.75" customHeight="1" thickBot="1" x14ac:dyDescent="0.25">
      <c r="B8" s="120" t="str">
        <f>+'Plan de acción 2024'!H55</f>
        <v>Registro de ingresos mensual</v>
      </c>
      <c r="C8" s="119">
        <f>+'Plan de acción 2024'!V55</f>
        <v>0.17758580210528918</v>
      </c>
      <c r="D8" s="119">
        <f>+'Plan de acción 2024'!Y55</f>
        <v>0.20118126475815037</v>
      </c>
      <c r="E8" s="119">
        <f>+'Plan de acción 2024'!AB55</f>
        <v>0.19769200339361986</v>
      </c>
      <c r="F8" s="119">
        <f>+'Plan de acción 2024'!AE55</f>
        <v>0.20297760601248249</v>
      </c>
      <c r="G8" s="119">
        <f t="shared" si="0"/>
        <v>0.77943667626954183</v>
      </c>
      <c r="I8" s="108"/>
      <c r="J8" s="108"/>
      <c r="K8" s="108"/>
      <c r="L8" s="108"/>
    </row>
    <row r="9" spans="2:12" ht="78.75" customHeight="1" thickBot="1" x14ac:dyDescent="0.25">
      <c r="B9" s="120" t="str">
        <f>+'Plan de acción 2024'!H56</f>
        <v>Registro de egresos mensual</v>
      </c>
      <c r="C9" s="119">
        <f>+'Plan de acción 2024'!V56</f>
        <v>6.9858977059944607E-2</v>
      </c>
      <c r="D9" s="119">
        <f>+'Plan de acción 2024'!Y56</f>
        <v>9.5911144580214949E-2</v>
      </c>
      <c r="E9" s="119">
        <f>+'Plan de acción 2024'!AB56</f>
        <v>0.286642513254104</v>
      </c>
      <c r="F9" s="119">
        <f>+'Plan de acción 2024'!AE56</f>
        <v>0.41850028197744332</v>
      </c>
      <c r="G9" s="119">
        <f t="shared" si="0"/>
        <v>0.87091291687170691</v>
      </c>
      <c r="I9" s="110" t="str">
        <f>IF('Plan de acción 2024'!AK55="","",'Plan de acción 2024'!AK55)</f>
        <v>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J9" s="110" t="str">
        <f>IF('Plan de acción 2024'!AM55="","",'Plan de acción 2024'!AM55)</f>
        <v>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K9" s="110" t="str">
        <f>IF('Plan de acción 2024'!AO55="","",'Plan de acción 2024'!AO55)</f>
        <v>Se evidencia el registro de los ingresos reportados durante el tercer trimestre, alcanzando un 79.08% de la meta establecida en el PAC 2024 ($9.541.108.291 recaudados de los $12.065.622.442 proyectados).
Este resultado refleja una ejecución parcial, lo que podría requerir ajustes en la planificación financiera y en la gestión de recaudos para reducir la brecha del 20.92% restante. Se recomienda fortalecer las estrategias de cobro y optimizar el proceso de conciliación, asegurando un mayor cumplimiento en los trimestres siguientes y garantizando la alineación con las metas presupuestales.</v>
      </c>
      <c r="L9" s="110" t="str">
        <f>IF('Plan de acción 2024'!AQ55="","",'Plan de acción 2024'!AQ55)</f>
        <v>Se evidencia el registro de los ingresos tesorales durante el cuarto trimestre, alcanzando $9.869.218.010 frente a los $12.155.550.314 proyectados en el PAC 2024, lo que representa un 81.21% de cumplimiento en este trimestre.
A nivel anual, el recaudo total logró cubrir solo el 77.94% de la meta establecida, reflejando una brecha significativa que podría afectar la planeación financiera de la entidad. Se recomienda evaluar los factores que han limitado el cumplimiento del recaudo y fortalecer las estrategias de cobro, conciliación y planeación, con el fin de minimizar estas diferencias en la siguiente vigencia y garantizar una mayor alineación con las metas presupuestales.</v>
      </c>
    </row>
    <row r="10" spans="2:12" ht="33.75" customHeight="1" thickBot="1" x14ac:dyDescent="0.25">
      <c r="B10" s="105" t="s">
        <v>617</v>
      </c>
      <c r="C10" s="100">
        <f>AVERAGE(C4:C9)</f>
        <v>0.17138673916142302</v>
      </c>
      <c r="D10" s="100">
        <f t="shared" ref="D10:F10" si="1">AVERAGE(D4:D9)</f>
        <v>0.18438328150589123</v>
      </c>
      <c r="E10" s="100">
        <f t="shared" si="1"/>
        <v>0.26714168526413656</v>
      </c>
      <c r="F10" s="100">
        <f t="shared" si="1"/>
        <v>0.28400023610193909</v>
      </c>
      <c r="G10" s="100">
        <f>AVERAGE(G4:G9)</f>
        <v>0.90691194203338998</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7"/>
  <sheetViews>
    <sheetView zoomScale="90" zoomScaleNormal="90" workbookViewId="0">
      <selection activeCell="E7" sqref="E7"/>
    </sheetView>
  </sheetViews>
  <sheetFormatPr baseColWidth="10" defaultColWidth="10.85546875" defaultRowHeight="14.25" x14ac:dyDescent="0.2"/>
  <cols>
    <col min="1" max="1" width="10.85546875" style="86"/>
    <col min="2" max="2" width="38.85546875" style="86" customWidth="1"/>
    <col min="3" max="6" width="10.85546875" style="86"/>
    <col min="7" max="7" width="17.42578125" style="86" customWidth="1"/>
    <col min="8" max="8" width="6" style="86" customWidth="1"/>
    <col min="9" max="12" width="63.42578125" style="86" customWidth="1"/>
    <col min="13" max="16384" width="10.85546875" style="86"/>
  </cols>
  <sheetData>
    <row r="2" spans="2:12" s="101" customFormat="1" ht="27.75" customHeight="1" x14ac:dyDescent="0.25">
      <c r="B2" s="193" t="s">
        <v>631</v>
      </c>
      <c r="C2" s="193"/>
      <c r="D2" s="193"/>
      <c r="E2" s="193"/>
      <c r="F2" s="193"/>
      <c r="G2" s="193"/>
      <c r="I2" s="193" t="s">
        <v>606</v>
      </c>
      <c r="J2" s="193"/>
      <c r="K2" s="193"/>
      <c r="L2" s="193"/>
    </row>
    <row r="3" spans="2:12" ht="45" x14ac:dyDescent="0.2">
      <c r="B3" s="102" t="s">
        <v>607</v>
      </c>
      <c r="C3" s="102" t="s">
        <v>608</v>
      </c>
      <c r="D3" s="102" t="s">
        <v>609</v>
      </c>
      <c r="E3" s="102" t="s">
        <v>610</v>
      </c>
      <c r="F3" s="102" t="s">
        <v>611</v>
      </c>
      <c r="G3" s="102" t="s">
        <v>612</v>
      </c>
      <c r="I3" s="103" t="s">
        <v>613</v>
      </c>
      <c r="J3" s="103" t="s">
        <v>614</v>
      </c>
      <c r="K3" s="103" t="s">
        <v>615</v>
      </c>
      <c r="L3" s="103" t="s">
        <v>616</v>
      </c>
    </row>
    <row r="4" spans="2:12" ht="87.75" customHeight="1" x14ac:dyDescent="0.2">
      <c r="B4" s="114" t="str">
        <f>+'Plan de acción 2024'!G57</f>
        <v xml:space="preserve">Impulsar la actividad procesal de las obligaciones que se  encuentren en cobro jurídico  entregadas a los abogados externos. </v>
      </c>
      <c r="C4" s="119">
        <f>+'Plan de acción 2024'!V57</f>
        <v>0.10366666666666667</v>
      </c>
      <c r="D4" s="119">
        <f>+'Plan de acción 2024'!Y57</f>
        <v>0.26666666666666666</v>
      </c>
      <c r="E4" s="119">
        <f>+'Plan de acción 2024'!AB57</f>
        <v>0.25083333333333335</v>
      </c>
      <c r="F4" s="119">
        <f>+'Plan de acción 2024'!AE57</f>
        <v>0.23283333333333334</v>
      </c>
      <c r="G4" s="119">
        <f>SUMIF(C4:F4,"&gt;0",C4:F4)</f>
        <v>0.85399999999999998</v>
      </c>
      <c r="I4" s="108" t="str">
        <f>IF('Plan de acción 2024'!AK57="","",'Plan de acción 2024'!AK57)</f>
        <v/>
      </c>
      <c r="J4" s="108" t="str">
        <f>IF('Plan de acción 2024'!AM57="","",'Plan de acción 2024'!AM57)</f>
        <v>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v>
      </c>
      <c r="K4" s="108" t="str">
        <f>IF('Plan de acción 2024'!AO57="","",'Plan de acción 2024'!AO57)</f>
        <v>Una vez revisadas las evidencias aportadas por el proceso, se verifica que durante el tercer trimestre se efectuaron mas de 1000 requerimientos, incluyendo gestiones administrativas y judiciales.
Este resultado refleja un avance en la gestión jurídica del cobro de obligaciones. Se recomienda realizar un análisis del impacto de estos requerimientos en la recuperación efectiva de cartera, con el fin de evaluar la eficiencia del proceso y optimizar las estrategias jurídicas implementadas.</v>
      </c>
      <c r="L4" s="108" t="str">
        <f>IF('Plan de acción 2024'!AQ57="","",'Plan de acción 2024'!AQ57)</f>
        <v>Tras la revisión de las evidencias aportadas por el proceso, se verificó que durante el cuarto trimestre de 2024 se gestionaron más de 1.200 requerimientos, incluyendo actuaciones administrativas y judiciales, evidenciando un avance significativo en la gestión jurídica del cobro de obligaciones.
Para la próxima vigencia, se recomienda realizar un análisis detallado del impacto de estos requerimientos en la recuperación de cartera, con el objetivo de medir la efectividad de las estrategias implementadas y ajustar las acciones necesarias para optimizar la gestión. Asimismo, se sugiere fortalecer el seguimiento a la respuesta y efectividad de los requerimientos, asegurando que contribuyan de manera efectiva a la reducción de cartera pendiente.</v>
      </c>
    </row>
    <row r="5" spans="2:12" ht="87.75" customHeight="1" x14ac:dyDescent="0.2">
      <c r="B5" s="114" t="str">
        <f>+'Plan de acción 2024'!G58</f>
        <v>Realizar seguimientos mensuales a la implementación de la Politica del Plan de Prevención del Daño Antijurídico.</v>
      </c>
      <c r="C5" s="119">
        <v>0</v>
      </c>
      <c r="D5" s="119">
        <f>+'Plan de acción 2024'!Y58</f>
        <v>0.5</v>
      </c>
      <c r="E5" s="119">
        <v>0</v>
      </c>
      <c r="F5" s="119">
        <f>+'Plan de acción 2024'!AE58</f>
        <v>0.5</v>
      </c>
      <c r="G5" s="119">
        <f>SUMIF(C5:F5,"&gt;0",C5:F5)</f>
        <v>1</v>
      </c>
      <c r="I5" s="110" t="str">
        <f>IF('Plan de acción 2024'!AK58="","",'Plan de acción 2024'!AK58)</f>
        <v>El presente indicador será evaluado en el segundo trimestre.</v>
      </c>
      <c r="J5" s="110" t="str">
        <f>IF('Plan de acción 2024'!AM58="","",'Plan de acción 2024'!AM58)</f>
        <v>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v>
      </c>
      <c r="K5" s="110" t="str">
        <f>IF('Plan de acción 2024'!AO58="","",'Plan de acción 2024'!AO58)</f>
        <v>No se realiza seguimiento en este trimestre, ya que el indicador no presenta medición durante este periodo. Para garantizar un adecuado seguimiento a la gestión del daño antijurídico en el Comité de Conciliación y Defensa Judicial, se recomienda subir en la ruta de la calidad las actas de las sesiones del comité, permitiendo así una mejor trazabilidad y documentación de las decisiones adoptadas.</v>
      </c>
      <c r="L5" s="110" t="str">
        <f>IF('Plan de acción 2024'!AQ58="","",'Plan de acción 2024'!AQ58)</f>
        <v>El proceso ha cumplido con el indicador al presentar el informe semestral del periodo compredido entre julio y diciembre sobre la gestión del Comité de Conciliación y Defensa Judicial. No obstante, se recomienda fortalecer la actualización de la información en el Sistema de Gestión de Calidad mediante el envío oportuno de las actas del comité. Esto garantizará la trazabilidad y el cumplimiento de los requisitos normativos.</v>
      </c>
    </row>
    <row r="6" spans="2:12" ht="87.75" customHeight="1" x14ac:dyDescent="0.2">
      <c r="B6" s="114" t="str">
        <f>+'Plan de acción 2024'!G59</f>
        <v>Marcar en Novasoft los casos recibidos por el Proceso de Cartera que superen los 91 días para  créditos de consumo y 151 a los créditos hipotecarios</v>
      </c>
      <c r="C6" s="119">
        <f>+'Plan de acción 2024'!V59</f>
        <v>0</v>
      </c>
      <c r="D6" s="119">
        <f>+'Plan de acción 2024'!Y59</f>
        <v>0.33329999999999999</v>
      </c>
      <c r="E6" s="119">
        <f>+'Plan de acción 2024'!AB59</f>
        <v>0.33329999999999999</v>
      </c>
      <c r="F6" s="119">
        <f>+'Plan de acción 2024'!AE59</f>
        <v>0.33329999999999999</v>
      </c>
      <c r="G6" s="119">
        <f>SUMIF(C6:F6,"&gt;0",C6:F6)</f>
        <v>0.99990000000000001</v>
      </c>
      <c r="I6" s="110" t="str">
        <f>IF('Plan de acción 2024'!AK59="","",'Plan de acción 2024'!AK59)</f>
        <v>El presente indicador será evaluado en el segundo trimestre.</v>
      </c>
      <c r="J6" s="110" t="str">
        <f>IF('Plan de acción 2024'!AM59="","",'Plan de acción 2024'!AM59)</f>
        <v>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v>
      </c>
      <c r="K6" s="110" t="str">
        <f>IF('Plan de acción 2024'!AO59="","",'Plan de acción 2024'!AO59)</f>
        <v>El indicador cumple con la meta establecida, ya que durante el tercer trimestre de la vigencia 2024 se reportó la entrega de 110 obligaciones a la firma externa M&amp;M para su demanda y su correspondiente marcación en estado jurídico.
Sin embargo, aunque se verifica la entrega de poderes para el inicio de demandas, no se cuenta con un dato preciso que indique cuántos casos debían ser remitidos a cobro jurídico, lo que genera incertidumbre en la gestión de estas obligaciones. Se recomienda fortalecer las evidencias del proceso, incorporando un registro detallado del número de casos que deben ser enviados a cobro jurídico, con el fin de garantizar un mayor control y trazabilidad en la gestión.</v>
      </c>
      <c r="L6" s="110" t="str">
        <f>IF('Plan de acción 2024'!AQ59="","",'Plan de acción 2024'!AQ59)</f>
        <v xml:space="preserve">El indicador cumple con la meta establecida, ya que durante el cuarto trimestre de la vigencia 2024 no se reportó entrega de obligaciones a la firma externa M&amp;M para demanda.
Sin embargo, el proceso reporta la entrega de 394 obligaciones nuevas, No obstante, se identificó la ausencia de un registro preciso que determine cuántos casos debían ser remitidos a cobro jurídico, lo que afecta la trazabilidad y el control del proceso. Para la próxima vigencia, se recomienda implementar un sistema de seguimiento más detallado que permita registrar con claridad la cantidad total de obligaciones sujetas a cobro jurídico, asegurando una gestión más eficiente y transparente. </v>
      </c>
    </row>
    <row r="7" spans="2:12" ht="31.5" customHeight="1" x14ac:dyDescent="0.2">
      <c r="B7" s="105" t="s">
        <v>617</v>
      </c>
      <c r="C7" s="100">
        <f>AVERAGE(C4:C6)</f>
        <v>3.4555555555555555E-2</v>
      </c>
      <c r="D7" s="100">
        <f>AVERAGE(D4:D6)</f>
        <v>0.36665555555555551</v>
      </c>
      <c r="E7" s="100">
        <f>AVERAGE(E4:E6)</f>
        <v>0.19471111111111114</v>
      </c>
      <c r="F7" s="100">
        <f>AVERAGE(F4:F6)</f>
        <v>0.35537777777777779</v>
      </c>
      <c r="G7" s="100">
        <f>AVERAGE(G4:G6)</f>
        <v>0.95130000000000015</v>
      </c>
    </row>
  </sheetData>
  <mergeCells count="2">
    <mergeCell ref="B2:G2"/>
    <mergeCell ref="I2:L2"/>
  </mergeCells>
  <pageMargins left="0.7" right="0.7" top="0.75" bottom="0.75" header="0.511811023622047" footer="0.511811023622047"/>
  <pageSetup paperSize="9" orientation="portrait" horizontalDpi="300" verticalDpi="300"/>
  <ignoredErrors>
    <ignoredError sqref="D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L10"/>
  <sheetViews>
    <sheetView zoomScale="90" zoomScaleNormal="90" workbookViewId="0">
      <selection activeCell="G10" sqref="G10"/>
    </sheetView>
  </sheetViews>
  <sheetFormatPr baseColWidth="10" defaultColWidth="10.85546875" defaultRowHeight="14.25" x14ac:dyDescent="0.2"/>
  <cols>
    <col min="1" max="1" width="10.85546875" style="86"/>
    <col min="2" max="2" width="40.140625" style="86" customWidth="1"/>
    <col min="3" max="6" width="10.85546875" style="86"/>
    <col min="7" max="7" width="23.42578125" style="86" customWidth="1"/>
    <col min="8" max="8" width="10.85546875" style="86"/>
    <col min="9" max="12" width="62" style="86" customWidth="1"/>
    <col min="13" max="16384" width="10.85546875" style="86"/>
  </cols>
  <sheetData>
    <row r="2" spans="2:12" ht="15" x14ac:dyDescent="0.25">
      <c r="B2" s="191" t="s">
        <v>632</v>
      </c>
      <c r="C2" s="191"/>
      <c r="D2" s="191"/>
      <c r="E2" s="191"/>
      <c r="F2" s="191"/>
      <c r="G2" s="191"/>
      <c r="I2" s="193" t="s">
        <v>606</v>
      </c>
      <c r="J2" s="193"/>
      <c r="K2" s="193"/>
      <c r="L2" s="193"/>
    </row>
    <row r="3" spans="2:12" ht="30" x14ac:dyDescent="0.2">
      <c r="B3" s="102" t="s">
        <v>607</v>
      </c>
      <c r="C3" s="102" t="s">
        <v>608</v>
      </c>
      <c r="D3" s="102" t="s">
        <v>609</v>
      </c>
      <c r="E3" s="102" t="s">
        <v>610</v>
      </c>
      <c r="F3" s="102" t="s">
        <v>611</v>
      </c>
      <c r="G3" s="102" t="s">
        <v>633</v>
      </c>
      <c r="I3" s="103" t="s">
        <v>613</v>
      </c>
      <c r="J3" s="103" t="s">
        <v>614</v>
      </c>
      <c r="K3" s="103" t="s">
        <v>615</v>
      </c>
      <c r="L3" s="103" t="s">
        <v>616</v>
      </c>
    </row>
    <row r="4" spans="2:12" ht="75.75" customHeight="1" x14ac:dyDescent="0.2">
      <c r="B4" s="118" t="str">
        <f>+'Plan de acción 2024'!G60</f>
        <v xml:space="preserve">Planear y ejecutar el Plan anual de auditorías interna Integral de acuerdo al cronograma </v>
      </c>
      <c r="C4" s="119">
        <f>+'Plan de acción 2024'!V60</f>
        <v>0</v>
      </c>
      <c r="D4" s="119">
        <f>+'Plan de acción 2024'!Y60</f>
        <v>0</v>
      </c>
      <c r="E4" s="119">
        <f>+'Plan de acción 2024'!AB60</f>
        <v>0.66942148760330589</v>
      </c>
      <c r="F4" s="119">
        <f>+'Plan de acción 2024'!AE60</f>
        <v>0</v>
      </c>
      <c r="G4" s="119">
        <f t="shared" ref="G4:G9" si="0">SUMIF(C4:F4,"&gt;0",C4:F4)</f>
        <v>0.66942148760330589</v>
      </c>
      <c r="I4" s="108" t="str">
        <f>IF('Plan de acción 2024'!AK60="","",'Plan de acción 2024'!AK60)</f>
        <v>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v>
      </c>
      <c r="J4" s="108" t="str">
        <f>IF('Plan de acción 2024'!AM60="","",'Plan de acción 2024'!AM60)</f>
        <v>En este trimestre, no se llevó a cabo el seguimiento de este indicador, ya que las auditorías están programadas para iniciar el 16 de julio, conforme al Plan aprobado. Por lo tanto, el seguimiento correspondiente se realizará en el próximo trimestre.</v>
      </c>
      <c r="K4" s="108" t="str">
        <f>IF('Plan de acción 2024'!AO60="","",'Plan de acción 2024'!AO60)</f>
        <v>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informes finales individuales de cada auditoría para garantizar el cumplimiento del indicador. Según el cronograma, debieron haberse realizado 11 auditorías entre los meses de julio y septiembre, por lo que es fundamental contar con la documentación que respalde su ejecución y resultados.</v>
      </c>
      <c r="L4" s="108" t="str">
        <f>IF('Plan de acción 2024'!AQ60="","",'Plan de acción 2024'!AQ60)</f>
        <v>Se revisaron las evidencias aportadas por el proceso, identificando que falta información sobre la auditoría en los procesos de Gestión de la Información, Recursos Físicos y Gestión del Mejoramiento.
Se recomienda actualizar el informe general e incluir los informes individuales de cada proceso auditado, con el fin de proporcionar mayor claridad sobre los resultados obtenidos y asegurar un seguimiento adecuado a las auditorías realizadas.</v>
      </c>
    </row>
    <row r="5" spans="2:12" ht="75.75" customHeight="1" x14ac:dyDescent="0.2">
      <c r="B5" s="118" t="str">
        <f>+'Plan de acción 2024'!G61</f>
        <v>Realizar los seguimientos a los planes de mejoramiento aprobados por la Contraloría Departamental</v>
      </c>
      <c r="C5" s="119">
        <v>0</v>
      </c>
      <c r="D5" s="119">
        <f>+'Plan de acción 2024'!Y61</f>
        <v>0.5</v>
      </c>
      <c r="E5" s="119">
        <v>0</v>
      </c>
      <c r="F5" s="119">
        <f>+'Plan de acción 2024'!AE61</f>
        <v>0.5</v>
      </c>
      <c r="G5" s="119">
        <f t="shared" si="0"/>
        <v>1</v>
      </c>
      <c r="I5" s="108" t="str">
        <f>IF('Plan de acción 2024'!AK61="","",'Plan de acción 2024'!AK61)</f>
        <v>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v>
      </c>
      <c r="J5" s="108" t="str">
        <f>IF('Plan de acción 2024'!AM61="","",'Plan de acción 2024'!AM61)</f>
        <v>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v>
      </c>
      <c r="K5" s="108" t="str">
        <f>IF('Plan de acción 2024'!AO61="","",'Plan de acción 2024'!AO61)</f>
        <v>No se realiza seguimiento en este trimestre, ya que el indicador no presenta medición periódica en este periodo. Los informes han sido presentados de manera semestral, conforme a la planificación establecida.</v>
      </c>
      <c r="L5" s="108" t="str">
        <f>IF('Plan de acción 2024'!AQ61="","",'Plan de acción 2024'!AQ61)</f>
        <v>El indicador cumple con la meta establecida, ya que según las evidencias presentadas, se verificó la presentación del segundo informe semestral y el informe anual del avance del Plan de Mejoramiento de la auditoría 2022, los cuales fueron radicados el 26 de diciembre ante la entidad competente.
Asimismo, se confirmó la radicación del Plan de Mejoramiento de la Auditoría de Cumplimiento 2023, realizada el 23 de diciembre de 2024 bajo el número 24-004946. Se recomienda mantener el seguimiento continuo a la ejecución de los planes de mejoramiento, asegurando su cumplimiento dentro de los plazos establecidos por la Resolución 0278 de 2021 de la Contraloría Departamental.</v>
      </c>
    </row>
    <row r="6" spans="2:12" ht="75.75" customHeight="1" x14ac:dyDescent="0.2">
      <c r="B6" s="118" t="str">
        <f>+'Plan de acción 2024'!G62</f>
        <v>Presentar los informes de ley  por parte de la OCI, cumpliendo con la normatividad aplicable Decreto 648  del 19 de abril  de 2017,  en materia de seguimientos  por parte de la OCI</v>
      </c>
      <c r="C6" s="119">
        <f>+'Plan de acción 2024'!V62</f>
        <v>0.21428571428571427</v>
      </c>
      <c r="D6" s="119">
        <f>+'Plan de acción 2024'!Y62</f>
        <v>6.25E-2</v>
      </c>
      <c r="E6" s="119">
        <f>+'Plan de acción 2024'!AB62</f>
        <v>0.16666666666666666</v>
      </c>
      <c r="F6" s="119">
        <f>+'Plan de acción 2024'!AE62</f>
        <v>8.3333333333333329E-2</v>
      </c>
      <c r="G6" s="119">
        <f t="shared" si="0"/>
        <v>0.5267857142857143</v>
      </c>
      <c r="I6" s="108" t="str">
        <f>IF('Plan de acción 2024'!AK62="","",'Plan de acción 2024'!AK62)</f>
        <v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v>
      </c>
      <c r="J6" s="108" t="str">
        <f>IF('Plan de acción 2024'!AM62="","",'Plan de acción 2024'!AM62)</f>
        <v>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v>
      </c>
      <c r="K6" s="108" t="str">
        <f>IF('Plan de acción 2024'!AO62="","",'Plan de acción 2024'!AO62)</f>
        <v>Se realizó la revisión de la página web institucional, constatando que se publicaron dos de los tres informes programados para este trimestre, correspondientes a PAAC del primer y segundo cuatrimestre así como los informes de Riesgos del mismo periodo,Sin embargo, no se evidencian los informes de Austeridad del Gasto correspondientes al primer, segundo y tercer trimestre, lo que indica un incumplimiento parcial del indicador. igualmente También se confirmó la publicación del informe de PQRSD del primer semestre.
Se recomienda priorizar la elaboración y publicación de los informes pendientes, garantizando así la transparencia y el cumplimiento de las normativas vigentes.</v>
      </c>
      <c r="L6" s="108" t="str">
        <f>IF('Plan de acción 2024'!AQ62="","",'Plan de acción 2024'!AQ62)</f>
        <v>Se realizó la revisión de la página web institucional, constatando que de los seis informes programados para este trimestre (PQRSD, Estado del Sistema de CI, Austeridad y Eficiencia del Gasto, PAAC, Riesgos y Auditorías), solo se evidenció la publicación de dos: PQRSD y Auditorías.
Dado que el indicador no cumple con la meta establecida, se recomienda iniciar con la elaboración y publicación de los informes pendientes, asegurando el cumplimiento normativo y fortaleciendo la transparencia en la rendición de cuentas de la entidad.</v>
      </c>
    </row>
    <row r="7" spans="2:12" ht="75.75" customHeight="1" x14ac:dyDescent="0.2">
      <c r="B7" s="118" t="str">
        <f>+'Plan de acción 2024'!G63</f>
        <v>Seguimiento a los resultados de la Auditoría interna de la CSC</v>
      </c>
      <c r="C7" s="119">
        <f>+'Plan de acción 2024'!V63</f>
        <v>0</v>
      </c>
      <c r="D7" s="119">
        <f>+'Plan de acción 2024'!Y63</f>
        <v>0</v>
      </c>
      <c r="E7" s="119">
        <f>+'Plan de acción 2024'!AB63</f>
        <v>0.5</v>
      </c>
      <c r="F7" s="119">
        <f>+'Plan de acción 2024'!AE63</f>
        <v>0.5</v>
      </c>
      <c r="G7" s="119">
        <f t="shared" si="0"/>
        <v>1</v>
      </c>
      <c r="I7" s="108" t="str">
        <f>IF('Plan de acción 2024'!AK63="","",'Plan de acción 2024'!AK63)</f>
        <v>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v>
      </c>
      <c r="J7" s="108" t="str">
        <f>IF('Plan de acción 2024'!AM63="","",'Plan de acción 2024'!AM63)</f>
        <v xml:space="preserve">El indicador no se cumplió, debido al que el proceso no aporta evidencias de los seguimientos  a los hallazgos de la auditoria interna. </v>
      </c>
      <c r="K7" s="108" t="str">
        <f>IF('Plan de acción 2024'!AO63="","",'Plan de acción 2024'!AO63)</f>
        <v>No se realiza seguimiento al indicador debido a la falta de evidencias que respalden su cumplimiento. Si bien las auditorías son compartidas entre diferentes procesos, el área responsable del indicador debe presentar las evidencias correspondientes.
En este caso, se solicita al proceso la entrega de los seguimiento o informes individuales de cada auditoría para garantizar el cumplimiento del indicador.</v>
      </c>
      <c r="L7" s="108" t="str">
        <f>IF('Plan de acción 2024'!AQ63="","",'Plan de acción 2024'!AQ63)</f>
        <v>Se verificó, con base en la evidencia presentada, que se ha dado seguimiento a las acciones correctivas y de mejora dentro de la entidad. Sin embargo, en los procesos de Atención al Cliente, Direccionamiento Estratégico, Recursos Físicos y Jurídica, no se especifica el estado actual de sus acciones, lo que dificulta la trazabilidad y control del cumplimiento de las mismas.
Se recomienda organizar la información de manera estructurada para permitir una verificación clara del estado de cada hallazgo. Como acción de mejora, se sugiere implementar un seguimiento más riguroso a los resultados de las auditorías del 2024, con el fin de evitar falta de información en la próxima vigencia y garantizar un control efectivo sobre las acciones correctivas y de mejora según el proceso.</v>
      </c>
    </row>
    <row r="8" spans="2:12" ht="75.75" customHeight="1" x14ac:dyDescent="0.2">
      <c r="B8" s="118" t="str">
        <f>+'Plan de acción 2024'!G64</f>
        <v>Realizar Campañas de Autocontrol que armonicen la 7ma dimensión de MIPG</v>
      </c>
      <c r="C8" s="119">
        <f>+'Plan de acción 2024'!V64</f>
        <v>0.25</v>
      </c>
      <c r="D8" s="119">
        <f>+'Plan de acción 2024'!Y64</f>
        <v>0.25</v>
      </c>
      <c r="E8" s="119">
        <f>+'Plan de acción 2024'!AB64</f>
        <v>0.25</v>
      </c>
      <c r="F8" s="119">
        <f>+'Plan de acción 2024'!AE64</f>
        <v>0.25</v>
      </c>
      <c r="G8" s="119">
        <f t="shared" si="0"/>
        <v>1</v>
      </c>
      <c r="I8" s="108" t="str">
        <f>IF('Plan de acción 2024'!AK64="","",'Plan de acción 2024'!AK64)</f>
        <v>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v>
      </c>
      <c r="J8" s="108" t="str">
        <f>IF('Plan de acción 2024'!AM64="","",'Plan de acción 2024'!AM64)</f>
        <v>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v>
      </c>
      <c r="K8" s="108" t="str">
        <f>IF('Plan de acción 2024'!AO64="","",'Plan de acción 2024'!AO64)</f>
        <v>Se verificó que, durante el tercer trimestre, se realizó una campaña informativa sobre el FURAG, la cual fue enviada a los funcionarios de la CSC a través de correo electrónico el 13 de agosto.
Si bien esta acción contribuye al objetivo de sensibilización, se recomienda ampliar el alcance de las campañas, utilizando otros medios de difusión como capacitaciones, boletines o material visual, con el fin de fortalecer la cultura de autocontrol dentro de la entidad.</v>
      </c>
      <c r="L8" s="108" t="str">
        <f>IF('Plan de acción 2024'!AQ64="","",'Plan de acción 2024'!AQ64)</f>
        <v>Se verificó que, durante el cuarto trimestre, se enviaron dos campañas informativas a través de correo electrónico: una el 1 de octubre sobre Riesgo Fiscal y otra el 27 de diciembre sobre el Sistema de Control Interno (CI).
El indicador cumple con la meta establecida, evidenciando acciones de sensibilización en temas clave para la entidad. Se recomienda mantener la periodicidad de estas campañas y explorar otros medios de difusión, como charlas o material visual, para reforzar el impacto y la comprensión de los temas abordados.</v>
      </c>
    </row>
    <row r="9" spans="2:12" ht="75.75" customHeight="1" x14ac:dyDescent="0.2">
      <c r="B9" s="118" t="str">
        <f>+'Plan de acción 2024'!G65</f>
        <v>Realizar seguimiento a la plataforma SIA OBSERVA</v>
      </c>
      <c r="C9" s="119">
        <f>+'Plan de acción 2024'!V65</f>
        <v>8.3333333333333329E-2</v>
      </c>
      <c r="D9" s="119">
        <f>+'Plan de acción 2024'!Y65</f>
        <v>0.16666666666666666</v>
      </c>
      <c r="E9" s="119">
        <f>+'Plan de acción 2024'!AB65</f>
        <v>8.3333333333333329E-2</v>
      </c>
      <c r="F9" s="119">
        <f>+'Plan de acción 2024'!AE65</f>
        <v>0.25</v>
      </c>
      <c r="G9" s="119">
        <f t="shared" si="0"/>
        <v>0.58333333333333326</v>
      </c>
      <c r="I9" s="110" t="str">
        <f>IF('Plan de acción 2024'!AK65="","",'Plan de acción 2024'!AK65)</f>
        <v>El indicador presenta un cumplimiento del 8.33% para el primer trimestre. Se evidencia seguimiento en el mes de enero. Se sugiere al proceso generar alertas en diferentes dias de cada mes para que se cumpla el objetivo del indicador.</v>
      </c>
      <c r="J9" s="110" t="str">
        <f>IF('Plan de acción 2024'!AM65="","",'Plan de acción 2024'!AM65)</f>
        <v>El indicador presenta un cumplimiento del 16.67% para el segundo trimestre. Se evidencia seguimiento en los meses de abril y mayo. Se sugiere al proceso generar alertas en diferentes dias de cada mes para que se cumpla el objetivo del indicador.</v>
      </c>
      <c r="K9" s="110" t="str">
        <f>IF('Plan de acción 2024'!AO65="","",'Plan de acción 2024'!AO65)</f>
        <v>El indicador no cumple con la meta establecida, ya que, aunque se tenía previsto realizar tres seguimientos, solo se evidenció uno. Esto indica que no se ha realizado el monitoreo constante de la documentación en la plataforma SIA OBSERVA, afectando la trazabilidad y supervisión del proceso contractual. Además, no se evidencia que se haya requerido al proceso de contratación sobre las observaciones encontradas en el seguimiento realizado por Control Interno. Se recomienda garantizar la ejecución de los seguimientos mensuales, realizando la debida verificación   en la plataforma y trasladando oportunamente las observaciones al área de contratación para fortalecer la gestión contractual.</v>
      </c>
      <c r="L9" s="110" t="str">
        <f>IF('Plan de acción 2024'!AQ65="","",'Plan de acción 2024'!AQ65)</f>
        <v>El indicador cumple con la meta establecida para el trimestre, ya que el proceso aportó evidencia de los seguimientos realizados en septiembre, noviembre y diciembre, asegurando el monitoreo de los procesos contractuales en la plataforma SIA OBSERVA.
Sin embargo, no se evidencia que las observaciones encontradas hayan sido notificadas al proceso de contratación. Se recomienda garantizar que todas las observaciones identificadas en los respectivos seguimientos sean formalmente notificadas al área de contratación, con el fin de mejorar la trazabilidad y fortalecer la supervisión de los procesos contractuales en la entidad.</v>
      </c>
    </row>
    <row r="10" spans="2:12" ht="35.25" customHeight="1" x14ac:dyDescent="0.2">
      <c r="B10" s="105" t="s">
        <v>617</v>
      </c>
      <c r="C10" s="100">
        <f>+AVERAGE(C4:C9)</f>
        <v>9.1269841269841279E-2</v>
      </c>
      <c r="D10" s="100">
        <f>+AVERAGE(D4:D9)</f>
        <v>0.16319444444444445</v>
      </c>
      <c r="E10" s="100">
        <f>+AVERAGE(E4:E9)</f>
        <v>0.27823691460055094</v>
      </c>
      <c r="F10" s="100">
        <f>+AVERAGE(F4:F9)</f>
        <v>0.2638888888888889</v>
      </c>
      <c r="G10" s="100">
        <f>+AVERAGE(G4:G9)</f>
        <v>0.79659008920372554</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6:C16"/>
  <sheetViews>
    <sheetView topLeftCell="A7" zoomScaleNormal="100" workbookViewId="0">
      <selection activeCell="K36" sqref="K36"/>
    </sheetView>
  </sheetViews>
  <sheetFormatPr baseColWidth="10" defaultColWidth="11.42578125" defaultRowHeight="15" x14ac:dyDescent="0.25"/>
  <cols>
    <col min="1" max="1" width="11.42578125" style="123"/>
    <col min="2" max="2" width="27.7109375" style="123" customWidth="1"/>
    <col min="3" max="3" width="16.7109375" style="123" customWidth="1"/>
    <col min="4" max="16384" width="11.42578125" style="123"/>
  </cols>
  <sheetData>
    <row r="6" spans="2:3" x14ac:dyDescent="0.25">
      <c r="B6" s="124" t="str">
        <f>+'Cumplimiento 2024'!C3</f>
        <v xml:space="preserve">Direccionamiento Estrategico </v>
      </c>
      <c r="C6" s="125">
        <f>+'Cumplimiento 2024'!C8</f>
        <v>0.98916666666666664</v>
      </c>
    </row>
    <row r="7" spans="2:3" x14ac:dyDescent="0.25">
      <c r="B7" s="126" t="str">
        <f>+'Cumplimiento 2024'!D3</f>
        <v>Atención al Cliente</v>
      </c>
      <c r="C7" s="127">
        <f>+'Cumplimiento 2024'!D8</f>
        <v>0.93017264496113417</v>
      </c>
    </row>
    <row r="8" spans="2:3" x14ac:dyDescent="0.25">
      <c r="B8" s="126" t="str">
        <f>+'Cumplimiento 2024'!E3</f>
        <v>Bienestar</v>
      </c>
      <c r="C8" s="127">
        <f>+'Cumplimiento 2024'!E8</f>
        <v>0.89311363877070571</v>
      </c>
    </row>
    <row r="9" spans="2:3" x14ac:dyDescent="0.25">
      <c r="B9" s="126" t="str">
        <f>+'Cumplimiento 2024'!F3</f>
        <v>Crédito Y cartera</v>
      </c>
      <c r="C9" s="127">
        <f>+'Cumplimiento 2024'!F8</f>
        <v>0.68563549529780232</v>
      </c>
    </row>
    <row r="10" spans="2:3" x14ac:dyDescent="0.25">
      <c r="B10" s="126" t="str">
        <f>+'Cumplimiento 2024'!G3</f>
        <v>Gestión Contractual</v>
      </c>
      <c r="C10" s="127">
        <f>+'Cumplimiento 2024'!G8</f>
        <v>0.78439153439153442</v>
      </c>
    </row>
    <row r="11" spans="2:3" x14ac:dyDescent="0.25">
      <c r="B11" s="126" t="str">
        <f>+'Cumplimiento 2024'!H3</f>
        <v>Gestión de la Información</v>
      </c>
      <c r="C11" s="127">
        <f>+'Cumplimiento 2024'!H8</f>
        <v>0.91665176928334824</v>
      </c>
    </row>
    <row r="12" spans="2:3" x14ac:dyDescent="0.25">
      <c r="B12" s="126" t="str">
        <f>+'Cumplimiento 2024'!I3</f>
        <v xml:space="preserve">Gestión de Recursos Físicos </v>
      </c>
      <c r="C12" s="127">
        <f>+'Cumplimiento 2024'!I8</f>
        <v>0.81506734006734005</v>
      </c>
    </row>
    <row r="13" spans="2:3" x14ac:dyDescent="0.25">
      <c r="B13" s="126" t="str">
        <f>+'Cumplimiento 2024'!J3</f>
        <v>Gestión del Talento Humano</v>
      </c>
      <c r="C13" s="127">
        <f>+'Cumplimiento 2024'!J8</f>
        <v>0.77638249596920994</v>
      </c>
    </row>
    <row r="14" spans="2:3" x14ac:dyDescent="0.25">
      <c r="B14" s="126" t="str">
        <f>+'Cumplimiento 2024'!K3</f>
        <v>Gestión Financiera</v>
      </c>
      <c r="C14" s="127">
        <f>+'Cumplimiento 2024'!K8</f>
        <v>0.90691194203338998</v>
      </c>
    </row>
    <row r="15" spans="2:3" x14ac:dyDescent="0.25">
      <c r="B15" s="126" t="str">
        <f>+'Cumplimiento 2024'!L3</f>
        <v>Gestión Jurídica</v>
      </c>
      <c r="C15" s="127">
        <f>+'Cumplimiento 2024'!L8</f>
        <v>0.95130000000000003</v>
      </c>
    </row>
    <row r="16" spans="2:3" x14ac:dyDescent="0.25">
      <c r="B16" s="128" t="str">
        <f>+'Cumplimiento 2024'!M3</f>
        <v xml:space="preserve">Gestion del mejoramiento </v>
      </c>
      <c r="C16" s="129">
        <f>+'Cumplimiento 2024'!M8</f>
        <v>0.79659008920372543</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8"/>
  <sheetViews>
    <sheetView zoomScale="85" zoomScaleNormal="85" workbookViewId="0">
      <selection activeCell="Q7" sqref="Q7"/>
    </sheetView>
  </sheetViews>
  <sheetFormatPr baseColWidth="10" defaultColWidth="10.85546875" defaultRowHeight="14.25" x14ac:dyDescent="0.2"/>
  <cols>
    <col min="1" max="1" width="3.85546875" style="86" customWidth="1"/>
    <col min="2" max="2" width="24.7109375" style="86" customWidth="1"/>
    <col min="3" max="3" width="19.85546875" style="86" customWidth="1"/>
    <col min="4" max="4" width="12.42578125" style="86" customWidth="1"/>
    <col min="5" max="5" width="12" style="86" customWidth="1"/>
    <col min="6" max="6" width="13.85546875" style="86" customWidth="1"/>
    <col min="7" max="7" width="14.42578125" style="86" customWidth="1"/>
    <col min="8" max="8" width="18.85546875" style="86" customWidth="1"/>
    <col min="9" max="9" width="17.42578125" style="86" customWidth="1"/>
    <col min="10" max="10" width="14.42578125" style="86" customWidth="1"/>
    <col min="11" max="11" width="17.42578125" style="86" customWidth="1"/>
    <col min="12" max="12" width="10.85546875" style="86"/>
    <col min="13" max="13" width="15.140625" style="86" customWidth="1"/>
    <col min="14" max="14" width="16.7109375" style="86" customWidth="1"/>
    <col min="15" max="16384" width="10.85546875" style="86"/>
  </cols>
  <sheetData>
    <row r="1" spans="2:15" ht="15" thickBot="1" x14ac:dyDescent="0.25"/>
    <row r="2" spans="2:15" ht="29.25" customHeight="1" thickBot="1" x14ac:dyDescent="0.45">
      <c r="B2" s="183" t="s">
        <v>586</v>
      </c>
      <c r="C2" s="183"/>
      <c r="D2" s="183"/>
      <c r="E2" s="183"/>
      <c r="F2" s="183"/>
      <c r="G2" s="183"/>
      <c r="H2" s="183"/>
      <c r="I2" s="183"/>
      <c r="J2" s="183"/>
      <c r="K2" s="183"/>
      <c r="L2" s="183"/>
      <c r="M2" s="183"/>
      <c r="N2" s="183"/>
    </row>
    <row r="3" spans="2:15" ht="45.75" thickBot="1" x14ac:dyDescent="0.25">
      <c r="B3" s="87" t="s">
        <v>587</v>
      </c>
      <c r="C3" s="88" t="s">
        <v>588</v>
      </c>
      <c r="D3" s="88" t="s">
        <v>589</v>
      </c>
      <c r="E3" s="88" t="s">
        <v>590</v>
      </c>
      <c r="F3" s="88" t="s">
        <v>905</v>
      </c>
      <c r="G3" s="88" t="s">
        <v>592</v>
      </c>
      <c r="H3" s="88" t="s">
        <v>593</v>
      </c>
      <c r="I3" s="88" t="s">
        <v>594</v>
      </c>
      <c r="J3" s="88" t="s">
        <v>595</v>
      </c>
      <c r="K3" s="88" t="s">
        <v>596</v>
      </c>
      <c r="L3" s="88" t="s">
        <v>597</v>
      </c>
      <c r="M3" s="88" t="s">
        <v>598</v>
      </c>
      <c r="N3" s="88" t="s">
        <v>599</v>
      </c>
    </row>
    <row r="4" spans="2:15" ht="43.5" customHeight="1" x14ac:dyDescent="0.2">
      <c r="B4" s="89" t="s">
        <v>600</v>
      </c>
      <c r="C4" s="90">
        <f>+'Direccionamiento Estrategico'!C8</f>
        <v>0.1875</v>
      </c>
      <c r="D4" s="90">
        <f>+'Atención al Cliente'!C8</f>
        <v>0.24318997201458456</v>
      </c>
      <c r="E4" s="90">
        <f>+Bienestar!C7</f>
        <v>7.9732936048115641E-2</v>
      </c>
      <c r="F4" s="90">
        <f>(+Crédito!C7+Cartera!C8)/2</f>
        <v>0.16001387759060701</v>
      </c>
      <c r="G4" s="90">
        <f>+'Gestión Contractual'!C7</f>
        <v>0.18055555555555555</v>
      </c>
      <c r="H4" s="90">
        <f>+'Gestión de la Información'!C9</f>
        <v>0.22000000000000003</v>
      </c>
      <c r="I4" s="90">
        <f>+'Gestión de Recursos Físicos'!C10</f>
        <v>8.3333333333333329E-2</v>
      </c>
      <c r="J4" s="90">
        <f>+'Gestión de Talento Humano'!C12</f>
        <v>0.1606237322515213</v>
      </c>
      <c r="K4" s="90">
        <f>+'Gestión Financiera'!C10</f>
        <v>0.17138673916142302</v>
      </c>
      <c r="L4" s="90">
        <f>+'Gestión Jurídica'!C7</f>
        <v>3.4555555555555555E-2</v>
      </c>
      <c r="M4" s="90">
        <f>+'Gestion del Mejoramiento'!C10</f>
        <v>9.1269841269841279E-2</v>
      </c>
      <c r="N4" s="184">
        <f>AVERAGE(C8:M8)</f>
        <v>0.8586712378768051</v>
      </c>
    </row>
    <row r="5" spans="2:15" ht="43.5" customHeight="1" x14ac:dyDescent="0.2">
      <c r="B5" s="89" t="s">
        <v>601</v>
      </c>
      <c r="C5" s="91">
        <f>+'Direccionamiento Estrategico'!D8</f>
        <v>0.1875</v>
      </c>
      <c r="D5" s="91">
        <f>+'Atención al Cliente'!D8</f>
        <v>0.20956078761779939</v>
      </c>
      <c r="E5" s="91">
        <f>+Bienestar!D7</f>
        <v>0.13804037895511403</v>
      </c>
      <c r="F5" s="90">
        <f>(Crédito!D7+Cartera!D8)/2</f>
        <v>0.15386706404051431</v>
      </c>
      <c r="G5" s="91">
        <f>+'Gestión Contractual'!D7</f>
        <v>0.12962962962962962</v>
      </c>
      <c r="H5" s="91">
        <f>+'Gestión de la Información'!D9</f>
        <v>0.25545454545454549</v>
      </c>
      <c r="I5" s="91">
        <f>+'Gestión de Recursos Físicos'!D10</f>
        <v>0.2946127946127946</v>
      </c>
      <c r="J5" s="91">
        <f>+'Gestión de Talento Humano'!D12</f>
        <v>0.14577839756592292</v>
      </c>
      <c r="K5" s="91">
        <f>+'Gestión Financiera'!D10</f>
        <v>0.18438328150589123</v>
      </c>
      <c r="L5" s="91">
        <f>+'Gestión Jurídica'!D7</f>
        <v>0.36665555555555551</v>
      </c>
      <c r="M5" s="91">
        <f>+'Gestion del Mejoramiento'!D10</f>
        <v>0.16319444444444445</v>
      </c>
      <c r="N5" s="185"/>
    </row>
    <row r="6" spans="2:15" ht="43.5" customHeight="1" x14ac:dyDescent="0.2">
      <c r="B6" s="89" t="s">
        <v>602</v>
      </c>
      <c r="C6" s="91">
        <f>+'Direccionamiento Estrategico'!E8</f>
        <v>0.42666666666666664</v>
      </c>
      <c r="D6" s="91">
        <f>+'Atención al Cliente'!E8</f>
        <v>0.23635045675732155</v>
      </c>
      <c r="E6" s="91">
        <f>+Bienestar!E7</f>
        <v>6.706677704194261E-2</v>
      </c>
      <c r="F6" s="90">
        <f>(Crédito!E7+Cartera!E8)/2</f>
        <v>0.19747429000668437</v>
      </c>
      <c r="G6" s="91">
        <f>+'Gestión Contractual'!E7</f>
        <v>0.23809523809523811</v>
      </c>
      <c r="H6" s="91">
        <f>+'Gestión de la Información'!E9</f>
        <v>0.22593406593406593</v>
      </c>
      <c r="I6" s="91">
        <f>+'Gestión de Recursos Físicos'!E10</f>
        <v>0.1505050505050505</v>
      </c>
      <c r="J6" s="91">
        <f>+'Gestión de Talento Humano'!E12</f>
        <v>0.24222447599729546</v>
      </c>
      <c r="K6" s="91">
        <f>+'Gestión Financiera'!E10</f>
        <v>0.26714168526413656</v>
      </c>
      <c r="L6" s="91">
        <f>+'Gestión Jurídica'!E7</f>
        <v>0.19471111111111114</v>
      </c>
      <c r="M6" s="91">
        <f>+'Gestion del Mejoramiento'!E10</f>
        <v>0.27823691460055094</v>
      </c>
      <c r="N6" s="185"/>
    </row>
    <row r="7" spans="2:15" ht="39" customHeight="1" x14ac:dyDescent="0.2">
      <c r="B7" s="89" t="s">
        <v>603</v>
      </c>
      <c r="C7" s="91">
        <f>+'Direccionamiento Estrategico'!F8</f>
        <v>0.1875</v>
      </c>
      <c r="D7" s="91">
        <f>+'Atención al Cliente'!F8</f>
        <v>0.24107142857142858</v>
      </c>
      <c r="E7" s="91">
        <f>+Bienestar!F7</f>
        <v>0.60827354672553346</v>
      </c>
      <c r="F7" s="90">
        <f>(Crédito!F7+Cartera!F8)/2</f>
        <v>0.17428026365999655</v>
      </c>
      <c r="G7" s="91">
        <f>+'Gestión Contractual'!F7</f>
        <v>0.23611111111111113</v>
      </c>
      <c r="H7" s="91">
        <f>+'Gestión de la Información'!F9</f>
        <v>0.21526315789473688</v>
      </c>
      <c r="I7" s="91">
        <f>+'Gestión de Recursos Físicos'!F10</f>
        <v>0.2866161616161616</v>
      </c>
      <c r="J7" s="91">
        <f>+'Gestión de Talento Humano'!F12</f>
        <v>0.22775589015447029</v>
      </c>
      <c r="K7" s="91">
        <f>+'Gestión Financiera'!F10</f>
        <v>0.28400023610193909</v>
      </c>
      <c r="L7" s="91">
        <f>+'Gestión Jurídica'!F7</f>
        <v>0.35537777777777779</v>
      </c>
      <c r="M7" s="91">
        <f>+'Gestion del Mejoramiento'!F10</f>
        <v>0.2638888888888889</v>
      </c>
      <c r="N7" s="185"/>
    </row>
    <row r="8" spans="2:15" ht="42" customHeight="1" thickBot="1" x14ac:dyDescent="0.25">
      <c r="B8" s="89" t="s">
        <v>604</v>
      </c>
      <c r="C8" s="92">
        <f t="shared" ref="C8:M8" si="0">SUM(C4:C7)</f>
        <v>0.98916666666666664</v>
      </c>
      <c r="D8" s="92">
        <f t="shared" si="0"/>
        <v>0.93017264496113417</v>
      </c>
      <c r="E8" s="92">
        <f t="shared" si="0"/>
        <v>0.89311363877070571</v>
      </c>
      <c r="F8" s="92">
        <f t="shared" si="0"/>
        <v>0.68563549529780232</v>
      </c>
      <c r="G8" s="92">
        <f t="shared" si="0"/>
        <v>0.78439153439153442</v>
      </c>
      <c r="H8" s="92">
        <f t="shared" si="0"/>
        <v>0.91665176928334824</v>
      </c>
      <c r="I8" s="92">
        <f t="shared" si="0"/>
        <v>0.81506734006734005</v>
      </c>
      <c r="J8" s="92">
        <f t="shared" si="0"/>
        <v>0.77638249596920994</v>
      </c>
      <c r="K8" s="92">
        <f t="shared" si="0"/>
        <v>0.90691194203338998</v>
      </c>
      <c r="L8" s="92">
        <f>SUM(L4:L7)</f>
        <v>0.95130000000000003</v>
      </c>
      <c r="M8" s="92">
        <f t="shared" si="0"/>
        <v>0.79659008920372543</v>
      </c>
      <c r="N8" s="186"/>
    </row>
    <row r="10" spans="2:15" ht="15" x14ac:dyDescent="0.25">
      <c r="C10" s="161"/>
    </row>
    <row r="11" spans="2:15" x14ac:dyDescent="0.2">
      <c r="I11" s="93"/>
    </row>
    <row r="13" spans="2:15" x14ac:dyDescent="0.2">
      <c r="B13" s="86" t="s">
        <v>587</v>
      </c>
      <c r="C13" s="86" t="s">
        <v>588</v>
      </c>
      <c r="D13" s="86" t="s">
        <v>589</v>
      </c>
      <c r="E13" s="86" t="s">
        <v>590</v>
      </c>
      <c r="F13" s="86" t="s">
        <v>591</v>
      </c>
      <c r="G13" s="86" t="s">
        <v>592</v>
      </c>
      <c r="H13" s="86" t="s">
        <v>593</v>
      </c>
      <c r="I13" s="86" t="s">
        <v>594</v>
      </c>
      <c r="J13" s="86" t="s">
        <v>595</v>
      </c>
      <c r="K13" s="86" t="s">
        <v>596</v>
      </c>
      <c r="L13" s="86" t="s">
        <v>597</v>
      </c>
      <c r="M13" s="86" t="s">
        <v>598</v>
      </c>
      <c r="N13" s="86" t="s">
        <v>599</v>
      </c>
    </row>
    <row r="14" spans="2:15" x14ac:dyDescent="0.2">
      <c r="B14" s="86" t="s">
        <v>663</v>
      </c>
      <c r="C14" s="142">
        <v>0.1875</v>
      </c>
      <c r="D14" s="142">
        <v>0.24318997201458456</v>
      </c>
      <c r="E14" s="142">
        <v>7.9732936048115641E-2</v>
      </c>
      <c r="F14" s="142">
        <v>0.16001387759060701</v>
      </c>
      <c r="G14" s="142">
        <v>0.18055555555555555</v>
      </c>
      <c r="H14" s="142">
        <v>0.22000000000000003</v>
      </c>
      <c r="I14" s="142">
        <v>8.3333333333333329E-2</v>
      </c>
      <c r="J14" s="142">
        <v>0.1606237322515213</v>
      </c>
      <c r="K14" s="142">
        <v>0.17138673916142302</v>
      </c>
      <c r="L14" s="142">
        <v>3.4555555555555555E-2</v>
      </c>
      <c r="M14" s="142">
        <v>9.1269841269841279E-2</v>
      </c>
      <c r="N14" s="141">
        <v>0.14660000000000001</v>
      </c>
    </row>
    <row r="15" spans="2:15" x14ac:dyDescent="0.2">
      <c r="B15" s="86" t="s">
        <v>800</v>
      </c>
      <c r="C15" s="142">
        <v>0.1875</v>
      </c>
      <c r="D15" s="142">
        <v>0.20956078761779939</v>
      </c>
      <c r="E15" s="142">
        <v>0.13804037895511403</v>
      </c>
      <c r="F15" s="142">
        <v>0.15386706404051431</v>
      </c>
      <c r="G15" s="142">
        <v>0.12962962962962962</v>
      </c>
      <c r="H15" s="142">
        <v>0.25545454545454549</v>
      </c>
      <c r="I15" s="142">
        <v>0.2946127946127946</v>
      </c>
      <c r="J15" s="142">
        <v>0.14577839756592292</v>
      </c>
      <c r="K15" s="142">
        <v>0.18438328150589123</v>
      </c>
      <c r="L15" s="142">
        <v>0.36665555555555551</v>
      </c>
      <c r="M15" s="142">
        <v>0.16319444444444445</v>
      </c>
      <c r="N15" s="141">
        <v>0.31919999999999998</v>
      </c>
      <c r="O15" s="160"/>
    </row>
    <row r="16" spans="2:15" ht="15.75" customHeight="1" x14ac:dyDescent="0.2">
      <c r="B16" s="86" t="s">
        <v>912</v>
      </c>
      <c r="C16" s="142">
        <v>0.42666666666666664</v>
      </c>
      <c r="D16" s="142">
        <v>0.23635045675732155</v>
      </c>
      <c r="E16" s="142">
        <v>6.706677704194261E-2</v>
      </c>
      <c r="F16" s="142">
        <v>0.19747429000668437</v>
      </c>
      <c r="G16" s="142">
        <v>0.23809523809523811</v>
      </c>
      <c r="H16" s="142">
        <v>0.22593406593406593</v>
      </c>
      <c r="I16" s="142">
        <v>0.1505050505050505</v>
      </c>
      <c r="J16" s="142">
        <v>0.24222447599729546</v>
      </c>
      <c r="K16" s="142">
        <v>0.26714168526413656</v>
      </c>
      <c r="L16" s="142">
        <v>0.19471111111111114</v>
      </c>
      <c r="M16" s="142">
        <v>0.27823691460055094</v>
      </c>
      <c r="N16" s="141">
        <v>0.57869999999999999</v>
      </c>
    </row>
    <row r="17" spans="2:14" x14ac:dyDescent="0.2">
      <c r="B17" s="86" t="s">
        <v>911</v>
      </c>
      <c r="C17" s="163">
        <v>0.1875</v>
      </c>
      <c r="D17" s="163">
        <v>0.24107142857142858</v>
      </c>
      <c r="E17" s="163">
        <v>0.60827354672553346</v>
      </c>
      <c r="F17" s="163">
        <v>0.17428026365999655</v>
      </c>
      <c r="G17" s="163">
        <v>0.23611111111111113</v>
      </c>
      <c r="H17" s="163">
        <v>0.21526315789473688</v>
      </c>
      <c r="I17" s="163">
        <v>0.2866161616161616</v>
      </c>
      <c r="J17" s="163">
        <v>0.22775589015447029</v>
      </c>
      <c r="K17" s="163">
        <v>0.28400023610193909</v>
      </c>
      <c r="L17" s="163">
        <v>0.35537777777777779</v>
      </c>
      <c r="M17" s="163">
        <v>0.2638888888888889</v>
      </c>
      <c r="N17" s="141">
        <v>0.85870000000000002</v>
      </c>
    </row>
    <row r="18" spans="2:14" x14ac:dyDescent="0.2">
      <c r="B18" s="165" t="s">
        <v>913</v>
      </c>
      <c r="C18" s="164">
        <f>SUM(C14:C17)</f>
        <v>0.98916666666666664</v>
      </c>
      <c r="D18" s="164">
        <f t="shared" ref="D18:M18" si="1">SUM(D14:D17)</f>
        <v>0.93017264496113417</v>
      </c>
      <c r="E18" s="164">
        <f t="shared" si="1"/>
        <v>0.89311363877070571</v>
      </c>
      <c r="F18" s="164">
        <f t="shared" si="1"/>
        <v>0.68563549529780232</v>
      </c>
      <c r="G18" s="164">
        <f t="shared" si="1"/>
        <v>0.78439153439153442</v>
      </c>
      <c r="H18" s="164">
        <f t="shared" si="1"/>
        <v>0.91665176928334824</v>
      </c>
      <c r="I18" s="164">
        <f t="shared" si="1"/>
        <v>0.81506734006734005</v>
      </c>
      <c r="J18" s="164">
        <f t="shared" si="1"/>
        <v>0.77638249596920994</v>
      </c>
      <c r="K18" s="164">
        <f t="shared" si="1"/>
        <v>0.90691194203338998</v>
      </c>
      <c r="L18" s="164">
        <f t="shared" si="1"/>
        <v>0.95130000000000003</v>
      </c>
      <c r="M18" s="164">
        <f t="shared" si="1"/>
        <v>0.79659008920372543</v>
      </c>
      <c r="N18" s="141"/>
    </row>
  </sheetData>
  <mergeCells count="2">
    <mergeCell ref="B2:N2"/>
    <mergeCell ref="N4:N8"/>
  </mergeCell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
  <sheetViews>
    <sheetView zoomScale="90" zoomScaleNormal="90" workbookViewId="0">
      <selection activeCell="G8" sqref="G8"/>
    </sheetView>
  </sheetViews>
  <sheetFormatPr baseColWidth="10" defaultColWidth="11.42578125" defaultRowHeight="14.25" x14ac:dyDescent="0.2"/>
  <cols>
    <col min="1" max="1" width="4.42578125" style="94" customWidth="1"/>
    <col min="2" max="2" width="40.28515625" style="94" customWidth="1"/>
    <col min="3" max="3" width="13.7109375" style="94" customWidth="1"/>
    <col min="4" max="6" width="11.42578125" style="94"/>
    <col min="7" max="7" width="16.42578125" style="94" customWidth="1"/>
    <col min="8" max="8" width="6" style="94" customWidth="1"/>
    <col min="9" max="9" width="20.7109375" style="94" customWidth="1"/>
    <col min="10" max="12" width="51" style="94" customWidth="1"/>
    <col min="13" max="16384" width="11.42578125" style="94"/>
  </cols>
  <sheetData>
    <row r="2" spans="2:12" ht="20.25" x14ac:dyDescent="0.3">
      <c r="B2" s="187" t="s">
        <v>605</v>
      </c>
      <c r="C2" s="187"/>
      <c r="D2" s="187"/>
      <c r="E2" s="187"/>
      <c r="F2" s="187"/>
      <c r="G2" s="187"/>
      <c r="I2" s="187" t="s">
        <v>606</v>
      </c>
      <c r="J2" s="187"/>
      <c r="K2" s="187"/>
      <c r="L2" s="187"/>
    </row>
    <row r="3" spans="2:12" ht="45" x14ac:dyDescent="0.2">
      <c r="B3" s="95" t="s">
        <v>607</v>
      </c>
      <c r="C3" s="95" t="s">
        <v>608</v>
      </c>
      <c r="D3" s="95" t="s">
        <v>609</v>
      </c>
      <c r="E3" s="95" t="s">
        <v>610</v>
      </c>
      <c r="F3" s="95" t="s">
        <v>611</v>
      </c>
      <c r="G3" s="95" t="s">
        <v>612</v>
      </c>
      <c r="I3" s="96" t="s">
        <v>613</v>
      </c>
      <c r="J3" s="96" t="s">
        <v>614</v>
      </c>
      <c r="K3" s="96" t="s">
        <v>615</v>
      </c>
      <c r="L3" s="96" t="s">
        <v>616</v>
      </c>
    </row>
    <row r="4" spans="2:12" ht="83.25" customHeight="1" x14ac:dyDescent="0.2">
      <c r="B4" s="97" t="str">
        <f>+'Plan de acción 2024'!G11</f>
        <v>Seguimiento y consolidación del Formulario Único de Reporte de Avances de la Gestión "FURAG" y evaluación del Modelo Integrado de Planeación y Gestión  "MIPG"</v>
      </c>
      <c r="C4" s="98">
        <v>0</v>
      </c>
      <c r="D4" s="98">
        <v>0</v>
      </c>
      <c r="E4" s="98">
        <f>+'Plan de acción 2024'!AF11</f>
        <v>0.95666666666666655</v>
      </c>
      <c r="F4" s="98">
        <v>0</v>
      </c>
      <c r="G4" s="98">
        <v>0.95669999999999999</v>
      </c>
      <c r="I4" s="157" t="str">
        <f>IF('Plan de acción 2024'!AK11="","",'Plan de acción 2024'!AK11)</f>
        <v>N/A</v>
      </c>
      <c r="J4" s="157" t="str">
        <f>IF('Plan de acción 2024'!AM11="","",'Plan de acción 2024'!AM11)</f>
        <v>Realizar reuniones de apertura y seguimiento, asì como la presentación del reporte FURAG reflejan un compromiso claro por parte de la entidad. Continuar con la asesoría, monitoreo, y capacitación será importante para asegurar el cumplimiento del indicador.</v>
      </c>
      <c r="K4" s="157" t="str">
        <f>IF('Plan de acción 2024'!AO11="","",'Plan de acción 2024'!AO11)</f>
        <v>Se revisaron las evidencias, identificando que efectivamente la CSC obtuvo un puntaje de 86.1 en la medición del FURAG, lo que refleja un desempeño positivo en la implementación de políticas de gestión y desempeño institucional. Sin embargo, el resultado quedó 3.9 puntos por debajo de la meta establecida (90 puntos), Cumpliendo parcialmente el indicador y evidenciando la necesidad de fortalecer las políticas con menor puntaje.
Por ello, se recomienda la implementación de acciones concretas en el próximo trimestre, asignando responsables y estableciendo plazos de ejecución para garantizar su cumplimiento. Adicionalmente, se sugiere realizar simulaciones o autoevaluaciones previas a la siguiente medición del FURAG, con el fin de identificar oportunidades de mejora y asegurar un incremento en la calificación en futuras evaluaciones.</v>
      </c>
      <c r="L4" s="157" t="str">
        <f>IF('Plan de acción 2024'!AQ11="","",'Plan de acción 2024'!AQ11)</f>
        <v>Aunque en este trimestre no estaba programado un seguimiento al indicador, se revisaron las evidencias aportadas por el proceso, evidenciando que la Oficina de Planeación diseñó planes de mejoramiento para fortalecer las políticas de MIPG con menor puntaje en el FURAG.
Asimismo, se llevaron a cabo mesas de trabajo con los líderes para proponer y estructurar acciones que permitan hacer seguimiento a la implementación de dichos planes de mejoramiento. Se recomienda continuar con el monitoreo y evaluación de las acciones implementadas, asegurando que contribuyan al fortalecimiento institucional y a la mejora en futuras mediciones del FURAG.</v>
      </c>
    </row>
    <row r="5" spans="2:12" ht="83.25" customHeight="1" x14ac:dyDescent="0.2">
      <c r="B5" s="97" t="str">
        <f>+'Plan de acción 2024'!G12</f>
        <v>Seguimiento a los 12 planes del Decreto 612 de 2018</v>
      </c>
      <c r="C5" s="98">
        <f>'Plan de acción 2024'!V12</f>
        <v>0.25</v>
      </c>
      <c r="D5" s="98">
        <f>'Plan de acción 2024'!Y12</f>
        <v>0.25</v>
      </c>
      <c r="E5" s="98">
        <f>'Plan de acción 2024'!AB12</f>
        <v>0.25</v>
      </c>
      <c r="F5" s="98">
        <f>'Plan de acción 2024'!AE12</f>
        <v>0.25</v>
      </c>
      <c r="G5" s="98">
        <f>SUMIF(C5:F5,"&gt;0",C5:F5)</f>
        <v>1</v>
      </c>
      <c r="I5" s="157" t="str">
        <f>IF('Plan de acción 2024'!AK12="","",'Plan de acción 2024'!AK12)</f>
        <v>N/A</v>
      </c>
      <c r="J5" s="157" t="str">
        <f>IF('Plan de acción 2024'!AM12="","",'Plan de acción 2024'!AM12)</f>
        <v>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v>
      </c>
      <c r="K5" s="157" t="str">
        <f>IF('Plan de acción 2024'!AO12="","",'Plan de acción 2024'!AO12)</f>
        <v xml:space="preserve">De acuerdo con las evidencias presentadas, se realizó el seguimiento a las actividades establecidas en los planes del Decreto 612, logrando un cumplimiento del 75%. Se evidenció la correcta ejecución del Plan de Bienestar, PINAR y PETIC; sin embargo, persisten rezagos en la implementación del Plan de Tratamiento de Riesgos de Seguridad y Privacidad de la Información, así como en el Plan de Seguridad y Privacidad de la Información, los cuales no superaron el 30% de ejecución. 
Para mejorar la ejecución de estos planes, se recomienda reforzar el seguimiento periódico mediante alertas tempranas que permitan mitigar retrasos, así como fortalecer la articulación con la Oficina de Sistemas para garantizar el cumplimiento de las actividades pendientes. </v>
      </c>
      <c r="L5" s="157" t="str">
        <f>IF('Plan de acción 2024'!AQ12="","",'Plan de acción 2024'!AQ12)</f>
        <v>De acuerdo con las evidencias se realizó el seguimiento a la ejecución de los planes, logrando un cumplimiento del 100% del indicador. Se evidenciaron avances significativos en la mayoría de los planes; sin embargo, algunos presentan ejecuciones por debajo del 20%. 
Para fortalecer la gestión en la próxima vigencia, se recomienda implementar un cronograma de seguimiento más detallado, con alertas tempranas para identificar retrasos en la ejecución de los planes con menor avance. Asimismo, se sugiere ajustar el formato de evaluación para que refleje el cumplimiento acumulado del año, permitiendo una mejor toma de decisiones y la implementación de acciones correctivas oportunas. Estas estrategias seguramente garantizarán una ejecución más eficiente y equilibrada de los planes en la siguiente vigencia</v>
      </c>
    </row>
    <row r="6" spans="2:12" ht="83.25" customHeight="1" x14ac:dyDescent="0.2">
      <c r="B6" s="97" t="str">
        <f>+'Plan de acción 2024'!G13</f>
        <v>Seguimiento y publicación del plan de acción de la Corporación Social de Cundinamarca</v>
      </c>
      <c r="C6" s="98">
        <f>'Plan de acción 2024'!V13</f>
        <v>0.25</v>
      </c>
      <c r="D6" s="98">
        <f>'Plan de acción 2024'!Y13</f>
        <v>0.25</v>
      </c>
      <c r="E6" s="98">
        <f>'Plan de acción 2024'!AB13</f>
        <v>0.25</v>
      </c>
      <c r="F6" s="98">
        <f>'Plan de acción 2024'!AE13</f>
        <v>0.25</v>
      </c>
      <c r="G6" s="98">
        <f>SUMIF(C6:F6,"&gt;0",C6:F6)</f>
        <v>1</v>
      </c>
      <c r="I6" s="157" t="str">
        <f>IF('Plan de acción 2024'!AK13="","",'Plan de acción 2024'!AK13)</f>
        <v>N/A</v>
      </c>
      <c r="J6" s="157" t="str">
        <f>IF('Plan de acción 2024'!AM13="","",'Plan de acción 2024'!AM13)</f>
        <v>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v>
      </c>
      <c r="K6" s="157" t="str">
        <f>IF('Plan de acción 2024'!AO13="","",'Plan de acción 2024'!AO13)</f>
        <v>Se verifica que se realizó el seguimiento al Plan de Acción para el período, alcanzando una ejecución del 63.57%. Sin embargo, se identifica que el proceso de Bienestar presenta un avance inferior al 40%, lo que requiere especial atención.
Se recomienda acompañar y reforzar el seguimiento a este proceso, asegurando el cumplimiento de sus actividades. Además, es fundamental continuar con un monitoreo riguroso de las evidencias, fortaleciendo la calidad de la documentación presentada por cada proceso. Esto permitirá garantizar la confiabilidad de la información y facilitar la evaluación del cumplimiento de las metas establecidas.</v>
      </c>
      <c r="L6" s="157" t="str">
        <f>IF('Plan de acción 2024'!AQ13="","",'Plan de acción 2024'!AQ13)</f>
        <v>Al cierre del trimestre, el Plan de Acción presenta un cumplimiento del 85.87%, lo que refleja un avance significativo en la ejecución de las actividades programadas para cada proceso. 
Para la próxima vigencia, se recomienda fortalecer los mecanismos de seguimiento y evaluación, promoviendo la entrega oportuna y estandarizada de evidencias por parte de cada proceso. Asimismo, se sugiere implementar estrategias de mejora continua, con el fin de optimizar la gestión del plan y garantizar un cumplimiento aún más eficiente en el siguiente periodo.</v>
      </c>
    </row>
    <row r="7" spans="2:12" ht="83.25" customHeight="1" x14ac:dyDescent="0.2">
      <c r="B7" s="97" t="str">
        <f>+'Plan de acción 2024'!G14</f>
        <v>Seguimiento y actualización al Sistema Único de Información de trámites -SUIT</v>
      </c>
      <c r="C7" s="98">
        <f>'Plan de acción 2024'!V14</f>
        <v>0.25</v>
      </c>
      <c r="D7" s="98">
        <f>'Plan de acción 2024'!Y14</f>
        <v>0.25</v>
      </c>
      <c r="E7" s="98">
        <f>'Plan de acción 2024'!AB14</f>
        <v>0.25</v>
      </c>
      <c r="F7" s="98">
        <f>'Plan de acción 2024'!AE14</f>
        <v>0.25</v>
      </c>
      <c r="G7" s="98">
        <f>SUMIF(C7:F7,"&gt;0",C7:F7)</f>
        <v>1</v>
      </c>
      <c r="I7" s="158" t="str">
        <f>IF('Plan de acción 2024'!AK14="","",'Plan de acción 2024'!AK14)</f>
        <v>N/A</v>
      </c>
      <c r="J7" s="158" t="str">
        <f>IF('Plan de acción 2024'!AM14="","",'Plan de acción 2024'!AM14)</f>
        <v>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v>
      </c>
      <c r="K7" s="158" t="str">
        <f>IF('Plan de acción 2024'!AO14="","",'Plan de acción 2024'!AO14)</f>
        <v>El seguimiento en SUIT se llevó a cabo con éxito, asegurando el cumplimiento del indicador. Se ha instruido a atención al cliente para actualizar el formulario de afiliación en Novasoft, lo que fortalecerá la gestión de afiliaciones. Es importante realizar un monitoreo continuo para verificar la implementación y efectividad de esta mejora.</v>
      </c>
      <c r="L7" s="158" t="str">
        <f>IF('Plan de acción 2024'!AQ14="","",'Plan de acción 2024'!AQ14)</f>
        <v>Se revisan las evidencias aportadas por el proceso, constatando que la Oficina de Planeación llevó a cabo con éxito el monitoreo de la estrategia de racionalización en la plataforma SUIT. Actualmente, se está a la espera de la evaluación de Control Interno para completar el proceso de racionalización de trámites.
Se recomienda continuar con este seguimiento y validar los avances obtenidos, garantizando que las medidas adoptadas contribuyan a la optimización y eficiencia en la gestión de trámites en la plataforma SUIT.</v>
      </c>
    </row>
    <row r="8" spans="2:12" ht="31.5" customHeight="1" x14ac:dyDescent="0.2">
      <c r="B8" s="99" t="s">
        <v>617</v>
      </c>
      <c r="C8" s="100">
        <f>+AVERAGE(C4:C7)</f>
        <v>0.1875</v>
      </c>
      <c r="D8" s="100">
        <f>+AVERAGE(D4:D7)</f>
        <v>0.1875</v>
      </c>
      <c r="E8" s="100">
        <f>+AVERAGE(E4:E7)</f>
        <v>0.42666666666666664</v>
      </c>
      <c r="F8" s="100">
        <f>+AVERAGE(F4:F7)</f>
        <v>0.1875</v>
      </c>
      <c r="G8" s="100">
        <f>+AVERAGE(G4:G7)</f>
        <v>0.98917500000000003</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8"/>
  <sheetViews>
    <sheetView zoomScale="90" zoomScaleNormal="90" workbookViewId="0">
      <selection activeCell="G8" sqref="G8"/>
    </sheetView>
  </sheetViews>
  <sheetFormatPr baseColWidth="10" defaultColWidth="10.85546875" defaultRowHeight="14.25" x14ac:dyDescent="0.2"/>
  <cols>
    <col min="1" max="1" width="3.7109375" style="86" customWidth="1"/>
    <col min="2" max="2" width="31.140625" style="86" customWidth="1"/>
    <col min="3" max="6" width="10.85546875" style="86"/>
    <col min="7" max="7" width="17" style="86" customWidth="1"/>
    <col min="8" max="8" width="6" style="86" customWidth="1"/>
    <col min="9" max="12" width="51.5703125" style="86" customWidth="1"/>
    <col min="13" max="16384" width="10.85546875" style="86"/>
  </cols>
  <sheetData>
    <row r="2" spans="2:12" s="101" customFormat="1" ht="35.25" customHeight="1" x14ac:dyDescent="0.25">
      <c r="B2" s="188" t="s">
        <v>618</v>
      </c>
      <c r="C2" s="188"/>
      <c r="D2" s="188"/>
      <c r="E2" s="188"/>
      <c r="F2" s="188"/>
      <c r="G2" s="188"/>
      <c r="I2" s="188" t="s">
        <v>606</v>
      </c>
      <c r="J2" s="188"/>
      <c r="K2" s="188"/>
      <c r="L2" s="188"/>
    </row>
    <row r="3" spans="2:12" ht="45" x14ac:dyDescent="0.2">
      <c r="B3" s="102" t="s">
        <v>607</v>
      </c>
      <c r="C3" s="102" t="s">
        <v>608</v>
      </c>
      <c r="D3" s="102" t="s">
        <v>609</v>
      </c>
      <c r="E3" s="102" t="s">
        <v>610</v>
      </c>
      <c r="F3" s="102" t="s">
        <v>611</v>
      </c>
      <c r="G3" s="102" t="s">
        <v>612</v>
      </c>
      <c r="I3" s="103" t="s">
        <v>613</v>
      </c>
      <c r="J3" s="103" t="s">
        <v>614</v>
      </c>
      <c r="K3" s="103" t="s">
        <v>615</v>
      </c>
      <c r="L3" s="103" t="s">
        <v>616</v>
      </c>
    </row>
    <row r="4" spans="2:12" ht="69.75" customHeight="1" x14ac:dyDescent="0.2">
      <c r="B4" s="152" t="str">
        <f>+'Plan de acción 2024'!G15</f>
        <v xml:space="preserve">Atender las PQRSDF dentro de los términos legales. </v>
      </c>
      <c r="C4" s="104">
        <f>+'Plan de acción 2024'!V15</f>
        <v>0.22807017543859651</v>
      </c>
      <c r="D4" s="104">
        <f>+'Plan de acción 2024'!Y15</f>
        <v>0.25</v>
      </c>
      <c r="E4" s="104">
        <f>+'Plan de acción 2024'!AB15</f>
        <v>0.24316605467156266</v>
      </c>
      <c r="F4" s="104">
        <f>+'Plan de acción 2024'!AE15</f>
        <v>0.25</v>
      </c>
      <c r="G4" s="104">
        <f>SUMIF(C4:F4,"&gt;0",C4:F4)</f>
        <v>0.97123623011015914</v>
      </c>
      <c r="I4" s="157" t="str">
        <f>IF('Plan de acción 2024'!AK15="","",'Plan de acción 2024'!AK15)</f>
        <v/>
      </c>
      <c r="J4" s="157" t="str">
        <f>IF('Plan de acción 2024'!AM15="","",'Plan de acción 2024'!AM15)</f>
        <v>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v>
      </c>
      <c r="K4" s="157" t="str">
        <f>IF('Plan de acción 2024'!AO15="","",'Plan de acción 2024'!AO15)</f>
        <v>El indicador correspondiente al tercer trimestre de 2024 refleja un cumplimiento del 92.40%, con un total de 1,290 PQRSDF gestionadas, de las cuales 1,192 fueron respondidas dentro de los términos establecidos. Este resultado evidencia una gestión eficiente en la atención al ciudadano. Sin embargo, es importante analizar las 98 solicitudes que no fueron respondidas a tiempo para identificar las causas y establecer estrategias que permitan mejorar los tiempos de respuesta. Además, se recomienda fortalecer la retroalimentación con los usuarios y revisar la calidad de los informes, ya que se han identificado errores en el análisis de los datos, lo que puede afectar la toma de decisiones y la mejora continua del servicio.</v>
      </c>
      <c r="L4" s="157" t="str">
        <f>IF('Plan de acción 2024'!AQ15="","",'Plan de acción 2024'!AQ15)</f>
        <v>El seguimiento al indicador de gestión de PQRSDF durante el cuarto trimestre de 2024 refleja un cumplimiento del 100%, con un total de 3,778 solicitudes gestionadas y respondidas dentro de los términos establecidos. Este resultado evidencia una gestión eficiente y oportuna en la atención al ciudadano. Como acción de mejora para la próxima vigencia, se recomienda implementar un sistema digital de seguimiento y control de respuestas, que permita mejorar la trazabilidad de cada solicitud, optimizar los tiempos de gestión y reducir posibles inconsistencias en los reportes. Además, se sugiere realizar un análisis cualitativo de las solicitudes para identificar tendencias, causas recurrentes y oportunidades de mejora en la prestación del servicio.</v>
      </c>
    </row>
    <row r="5" spans="2:12" ht="69.75" customHeight="1" x14ac:dyDescent="0.2">
      <c r="B5" s="152" t="str">
        <f>+'Plan de acción 2024'!G16</f>
        <v xml:space="preserve">Medir la satisfacción del cliente externo, mínimo del 70% de la población atendida </v>
      </c>
      <c r="C5" s="104">
        <f>+'Plan de acción 2024'!V16</f>
        <v>0.24468971261974176</v>
      </c>
      <c r="D5" s="104">
        <f>+'Plan de acción 2024'!Y16</f>
        <v>0.23871934094738814</v>
      </c>
      <c r="E5" s="104">
        <f>+'Plan de acción 2024'!AB16</f>
        <v>0.24390243902439024</v>
      </c>
      <c r="F5" s="104">
        <f>+'Plan de acción 2024'!AE16</f>
        <v>0.25</v>
      </c>
      <c r="G5" s="104">
        <f>SUMIF(C5:F5,"&gt;0",C5:F5)</f>
        <v>0.97731149259152017</v>
      </c>
      <c r="I5" s="157" t="str">
        <f>IF('Plan de acción 2024'!AK16="","",'Plan de acción 2024'!AK16)</f>
        <v>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v>
      </c>
      <c r="J5" s="157" t="str">
        <f>IF('Plan de acción 2024'!AM16="","",'Plan de acción 2024'!AM16)</f>
        <v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v>
      </c>
      <c r="K5" s="157" t="str">
        <f>IF('Plan de acción 2024'!AO16="","",'Plan de acción 2024'!AO16)</f>
        <v>Durante el tercer trimestre de 2024, se aplicaron 205 encuestas según las evidencias aportadas por el proceso, alcanzando un cumplimiento del 96% en el indicador de satisfacción del usuario. Aunque este resultado es positivo, es fundamental garantizar que al menos el 70% de las personas atendidas participen para obtener una muestra representativa y confiable. Se identificaron oportunidades de mejora en la atención telefónica y la información sobre trámites, aspectos clave para fortalecer la experiencia del usuario. Como acción de mejora para la próxima vigencia, se recomienda optimizar la estrategia de recolección de encuestas, diversificando los canales de aplicación y promoviendo una mayor participación de los usuarios, con el fin de obtener un análisis más preciso y tomar acciones correctivas efectivas.</v>
      </c>
      <c r="L5" s="157" t="str">
        <f>IF('Plan de acción 2024'!AQ16="","",'Plan de acción 2024'!AQ16)</f>
        <v>Durante el cuarto trimestre de 2024, se aplicaron 116 encuestas, alcanzando un cumplimiento del 98% en el indicador de satisfacción del usuario. Aunque este resultado es positivo, es fundamental garantizar que al menos el 70% de las personas atendidas participen para obtener una muestra representativa y confiable. Se recomienda aportar los informes con evidencias de las encuestas para asegurar la trazabilidad de la información, así como analizar los comentarios y sugerencias de los usuarios para identificar oportunidades de mejora.
Como acción de mejora para la próxima vigencia, se sugiere implementar un sistema digital de recolección y gestión de encuestas que permita un seguimiento más eficiente de los resultados, facilite el análisis de la información en tiempo real y fomente la participación de los usuarios a través de diversos canales. Esto contribuirá a una toma de decisiones más informada y a la optimización de la experiencia del usuario.</v>
      </c>
    </row>
    <row r="6" spans="2:12" ht="69.75" customHeight="1" x14ac:dyDescent="0.2">
      <c r="B6" s="152" t="str">
        <f>+'Plan de acción 2024'!G17</f>
        <v>Seguimiento al Plan de Comunicaciones de la CSC</v>
      </c>
      <c r="C6" s="104">
        <f>+'Plan de acción 2024'!V17</f>
        <v>0.25</v>
      </c>
      <c r="D6" s="104">
        <f>+'Plan de acción 2024'!Y17</f>
        <v>0.16666666666666666</v>
      </c>
      <c r="E6" s="104">
        <f>+'Plan de acción 2024'!AB17</f>
        <v>0.20833333333333334</v>
      </c>
      <c r="F6" s="104">
        <f>+'Plan de acción 2024'!AE17</f>
        <v>0.21428571428571427</v>
      </c>
      <c r="G6" s="104">
        <f>SUMIF(C6:F6,"&gt;0",C6:F6)</f>
        <v>0.8392857142857143</v>
      </c>
      <c r="I6" s="157" t="str">
        <f>IF('Plan de acción 2024'!AK17="","",'Plan de acción 2024'!AK17)</f>
        <v>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v>
      </c>
      <c r="J6" s="157" t="str">
        <f>IF('Plan de acción 2024'!AM17="","",'Plan de acción 2024'!AM17)</f>
        <v>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v>
      </c>
      <c r="K6" s="157" t="str">
        <f>IF('Plan de acción 2024'!AO17="","",'Plan de acción 2024'!AO17)</f>
        <v>El indicador de ejecución del Plan de Comunicaciones presenta un cumplimiento del 83.3% en el tercer trimestre de 2024, ya que se completaron 5 de las 6 actividades programadas. La actividad pendiente, relacionada con la capacitación del equipo de Atención al Cliente, junto con la mejora en la difusión del boletín interno, requiere atención para alcanzar el 100% de cumplimiento. Se recomienda reprogramar la capacitación y reforzar las estrategias de comunicación interna, asegurando que el boletín llegue de manera efectiva a todos los funcionarios.</v>
      </c>
      <c r="L6" s="157" t="str">
        <f>IF('Plan de acción 2024'!AQ17="","",'Plan de acción 2024'!AQ17)</f>
        <v>El seguimiento al Plan de Comunicaciones durante el cuarto trimestre de 2024 evidencia un cumplimiento del 85.7%, con la ejecución de 6 de las 7 actividades programadas. La única actividad pendiente es la capacitación del equipo de Atención al Cliente, además de la necesidad de fortalecer la periodicidad en la difusión del boletín interno. Se recomienda reprogramar la capacitación y establecer un cronograma claro para la publicación del boletín, asegurando su continuidad. Como mejora para la próxima vigencia, se propone implementar un sistema de seguimiento que permita medir el impacto de las estrategias de comunicación y optimizar su alcance dentro de la entidad.</v>
      </c>
    </row>
    <row r="7" spans="2:12" ht="69.75" customHeight="1" x14ac:dyDescent="0.2">
      <c r="B7" s="152" t="str">
        <f>+'Plan de acción 2024'!G18</f>
        <v xml:space="preserve">Realizar nuevas vinculaciones durante el cuatrienio </v>
      </c>
      <c r="C7" s="104">
        <f>+'Plan de acción 2024'!V18</f>
        <v>0.25</v>
      </c>
      <c r="D7" s="104">
        <f>+'Plan de acción 2024'!Y18</f>
        <v>0.18285714285714286</v>
      </c>
      <c r="E7" s="104">
        <f>+'Plan de acción 2024'!AB18</f>
        <v>0.25</v>
      </c>
      <c r="F7" s="104">
        <f>+'Plan de acción 2024'!AE18</f>
        <v>0.25</v>
      </c>
      <c r="G7" s="104">
        <f>SUMIF(C7:F7,"&gt;0",C7:F7)</f>
        <v>0.93285714285714283</v>
      </c>
      <c r="I7" s="158" t="str">
        <f>IF('Plan de acción 2024'!AK18="","",'Plan de acción 2024'!AK18)</f>
        <v>El indicador cumple con lo programado.  Este resultado fortalece la base de afiliados y contribuye al crecimiento y sostenibilidad de la entidad.</v>
      </c>
      <c r="J7" s="158" t="str">
        <f>IF('Plan de acción 2024'!AM18="","",'Plan de acción 2024'!AM18)</f>
        <v>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v>
      </c>
      <c r="K7" s="158" t="str">
        <f>IF('Plan de acción 2024'!AO18="","",'Plan de acción 2024'!AO18)</f>
        <v xml:space="preserve">
El proceso cumple con la meta establecida, alcanzando 267 afiliaciones de las 200 proyectadas, lo que representa un cumplimiento del 133.5%.
Este resultado refleja un excelente desempeño en la gestión de afiliaciones. Se recomienda mantener y fortalecer las estrategias implementadas, explorando nuevas acciones como campañas de divulgación más amplias, alianzas estratégicas y el uso de herramientas digitales para agilizar el proceso de afiliación.</v>
      </c>
      <c r="L7" s="158" t="str">
        <f>IF('Plan de acción 2024'!AQ18="","",'Plan de acción 2024'!AQ18)</f>
        <v>El proceso superó la meta establecida, alcanzando 233 afiliaciones frente a las 110 proyectadas, lo que representa un excelente  cumplimiento del indicador.
Este resultado refleja un alto desempeño en la gestión de afiliaciones, lo que contribuye al fortalecimiento institucional. Como acción de mejora para la próxima vigencia, se recomienda implementar un sistema de seguimiento y fidelización de afiliados, con el fin de garantizar su permanencia y fortalecer la relación con la entidad, además de evaluar estrategias para continuar con el crecimiento sostenido en nuevas afiliaciones y posiblemente otorgamiento de créditos</v>
      </c>
    </row>
    <row r="8" spans="2:12" ht="33" customHeight="1" x14ac:dyDescent="0.2">
      <c r="B8" s="153" t="s">
        <v>617</v>
      </c>
      <c r="C8" s="100">
        <f>+AVERAGE(C4:C7)</f>
        <v>0.24318997201458456</v>
      </c>
      <c r="D8" s="100">
        <f>+AVERAGE(D4:D7)</f>
        <v>0.20956078761779939</v>
      </c>
      <c r="E8" s="100">
        <f>+AVERAGE(E4:E7)</f>
        <v>0.23635045675732155</v>
      </c>
      <c r="F8" s="100">
        <f>+AVERAGE(F4:F7)</f>
        <v>0.24107142857142858</v>
      </c>
      <c r="G8" s="100">
        <f>+AVERAGE(G4:G7)</f>
        <v>0.93017264496113417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7"/>
  <sheetViews>
    <sheetView zoomScale="90" zoomScaleNormal="90" workbookViewId="0">
      <selection activeCell="G7" sqref="G7"/>
    </sheetView>
  </sheetViews>
  <sheetFormatPr baseColWidth="10" defaultColWidth="10.85546875" defaultRowHeight="15" x14ac:dyDescent="0.25"/>
  <cols>
    <col min="1" max="1" width="4.28515625" style="106" customWidth="1"/>
    <col min="2" max="2" width="53.7109375" style="106" customWidth="1"/>
    <col min="3" max="6" width="10.85546875" style="106"/>
    <col min="7" max="7" width="18.7109375" style="106" customWidth="1"/>
    <col min="8" max="8" width="6" style="106" customWidth="1"/>
    <col min="9" max="9" width="62.85546875" style="106" customWidth="1"/>
    <col min="10" max="10" width="52.5703125" style="106" customWidth="1"/>
    <col min="11" max="11" width="48.140625" style="106" customWidth="1"/>
    <col min="12" max="12" width="20.7109375" style="106" customWidth="1"/>
    <col min="13" max="16384" width="10.85546875" style="106"/>
  </cols>
  <sheetData>
    <row r="2" spans="2:12" ht="23.25" x14ac:dyDescent="0.35">
      <c r="B2" s="189" t="s">
        <v>619</v>
      </c>
      <c r="C2" s="189"/>
      <c r="D2" s="189"/>
      <c r="E2" s="189"/>
      <c r="F2" s="189"/>
      <c r="G2" s="189"/>
      <c r="I2" s="189" t="s">
        <v>620</v>
      </c>
      <c r="J2" s="189"/>
      <c r="K2" s="189"/>
      <c r="L2" s="189"/>
    </row>
    <row r="3" spans="2:12" ht="45" x14ac:dyDescent="0.25">
      <c r="B3" s="102" t="s">
        <v>607</v>
      </c>
      <c r="C3" s="103" t="s">
        <v>621</v>
      </c>
      <c r="D3" s="103" t="s">
        <v>622</v>
      </c>
      <c r="E3" s="103" t="s">
        <v>623</v>
      </c>
      <c r="F3" s="103" t="s">
        <v>624</v>
      </c>
      <c r="G3" s="103" t="s">
        <v>612</v>
      </c>
      <c r="I3" s="103" t="s">
        <v>613</v>
      </c>
      <c r="J3" s="103" t="s">
        <v>614</v>
      </c>
      <c r="K3" s="103" t="s">
        <v>615</v>
      </c>
      <c r="L3" s="103" t="s">
        <v>616</v>
      </c>
    </row>
    <row r="4" spans="2:12" ht="57" customHeight="1" x14ac:dyDescent="0.25">
      <c r="B4" s="154" t="str">
        <f>+'Plan de acción 2024'!G19</f>
        <v>Beneficiar el 20% de los afiliados y beneficiarios con las actividades y servicios de bienestar que presta la Corporación.</v>
      </c>
      <c r="C4" s="107">
        <f>+'Plan de acción 2024'!V19</f>
        <v>0.23919880814434694</v>
      </c>
      <c r="D4" s="107">
        <f>+'Plan de acción 2024'!Y19</f>
        <v>0.12141280353200883</v>
      </c>
      <c r="E4" s="107">
        <f>+'Plan de acción 2024'!AB19</f>
        <v>7.4503311258278145E-3</v>
      </c>
      <c r="F4" s="107">
        <f>+'Plan de acción 2024'!AE19</f>
        <v>0.71440397350993379</v>
      </c>
      <c r="G4" s="107">
        <f>SUMIF(C4:F4,"&gt;0",C4:F4)</f>
        <v>1.0824659163121173</v>
      </c>
      <c r="I4" s="108" t="str">
        <f>IF('Plan de acción 2024'!AK19="","",'Plan de acción 2024'!AK19)</f>
        <v>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v>
      </c>
      <c r="J4" s="155" t="str">
        <f>IF('Plan de acción 2024'!AM19="","",'Plan de acción 2024'!AM19)</f>
        <v>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v>
      </c>
      <c r="K4" s="155" t="str">
        <f>IF('Plan de acción 2024'!AO19="","",'Plan de acción 2024'!AO19)</f>
        <v>Durante el tercer trimestre, no se logra evidenciar la entrega de beneficios directos a los afiliados a través de actividades de bienestar, ya que se había establecido que la entrega de promocionales como esferos y cuadernos no contaba como beneficio.
Sin embargo, se destaca la gestión realizada en la inscripción de afiliados en capacitaciones y los avances en la estrategia de convenios con empresas, lo que representa un progreso en la oferta de beneficios.
Se recomienda al proceso organizar mejor las evidencias, permitiendo un seguimiento más preciso y la cuantificación de los afiliados beneficiados en las actividades programadas, asegurando así una medición efectiva del impacto de estas iniciativas.</v>
      </c>
      <c r="L4" s="109" t="str">
        <f>IF('Plan de acción 2024'!AQ19="","",'Plan de acción 2024'!AQ19)</f>
        <v>Durante el cuarto trimestre de 2024, se entregaron 2253 incentivos navideños, realizando visitas a los afiliados en diferentes provincias del departamento. Asimismo, se evidenció la participación de afiliados en los cursos “Comunicación efectiva para resolver conflictos y construir relaciones” y “Cómo reaccionar ante la crisis y brindar primeros auxilios psicológicos”.
El indicador refleja avances en la gestión de bienestar para los afiliados. No obstante, se recomienda consolidar mejor las evidencias, incorporando registros fotográficos, listados de asistencia y listados de entrega, con el fin de identificar de manera más precisa a los beneficiarios de las actividades de bienestar y fortalecer la trazabilidad de estas acciones.</v>
      </c>
    </row>
    <row r="5" spans="2:12" ht="77.25" customHeight="1" x14ac:dyDescent="0.25">
      <c r="B5" s="154" t="str">
        <f>+'Plan de acción 2024'!G20</f>
        <v>Beneficiar a los afiliados con actividades   encaminadas a difundir y promocionar el portafolio de servicios de la entidad. Asesorando y tramitando tanto créditos como afiliaciones de manera virtual y presencial  en los diferentes municipios del Departamento.</v>
      </c>
      <c r="C5" s="107">
        <f>+'Plan de acción 2024'!V20</f>
        <v>0</v>
      </c>
      <c r="D5" s="107">
        <f>+'Plan de acción 2024'!Y20</f>
        <v>9.3749999999999997E-3</v>
      </c>
      <c r="E5" s="107">
        <f>+'Plan de acción 2024'!AB20</f>
        <v>0.19375000000000001</v>
      </c>
      <c r="F5" s="107">
        <f>+'Plan de acción 2024'!AE20</f>
        <v>0.29375000000000001</v>
      </c>
      <c r="G5" s="107">
        <f>SUMIF(C5:F5,"&gt;0",C5:F5)</f>
        <v>0.49687500000000001</v>
      </c>
      <c r="I5" s="108" t="str">
        <f>IF('Plan de acción 2024'!AK20="","",'Plan de acción 2024'!AK20)</f>
        <v>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v>
      </c>
      <c r="J5" s="155" t="str">
        <f>IF('Plan de acción 2024'!AM20="","",'Plan de acción 2024'!AM20)</f>
        <v>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v>
      </c>
      <c r="K5" s="155" t="str">
        <f>IF('Plan de acción 2024'!AO20="","",'Plan de acción 2024'!AO20)</f>
        <v xml:space="preserve">En el tercer trimestre de 2024, el proceso alcanzó un 77.5% de cumplimiento en la meta de visitas a municipios, realizando 62 visitas de las 80 programadas. Aunque se logró un avance, se identificó la falta de visitas a municipios en las provincias de Ubaté, Guavio y Almeidas, lo que representa una oportunidad de mejora en la cobertura territorial.
Además, se recomienda reforzar la calidad de las evidencias para asegurar que cada visita esté debidamente documentada y respaldada. </v>
      </c>
      <c r="L5" s="109" t="str">
        <f>IF('Plan de acción 2024'!AQ20="","",'Plan de acción 2024'!AQ20)</f>
        <v>En el último trimestre de 2024, el proceso superó la meta trimestral de cobertura territorial visitando 94 de 116 municipios, reflejando un esfuerzo significativo en la atención a los afiliados. La estrategia de centralizar actividades por provincia permitió optimizar recursos y promover de manera eficiente los servicios de la Entidad.
Sin embargo, aún queda un 18.9% de municipios (22 de 116) sin visitar, lo que representa una oportunidad de mejora para el próximo período. Se recomienda priorizar estas localidades en la siguiente vigencia, reforzando la planificación y los recursos necesarios para alcanzar la cobertura total. Además, se sugiere fortalecer la calidad de las evidencias para garantizar que cada visita quede debidamente documentada y respaldada.</v>
      </c>
    </row>
    <row r="6" spans="2:12" ht="75" customHeight="1" x14ac:dyDescent="0.25">
      <c r="B6" s="154" t="str">
        <f>+'Plan de acción 2024'!G21</f>
        <v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v>
      </c>
      <c r="C6" s="107">
        <v>0</v>
      </c>
      <c r="D6" s="107">
        <f>+'Plan de acción 2024'!Y21</f>
        <v>0.28333333333333333</v>
      </c>
      <c r="E6" s="107">
        <v>0</v>
      </c>
      <c r="F6" s="107">
        <f>+'Plan de acción 2024'!AE21</f>
        <v>0.81666666666666665</v>
      </c>
      <c r="G6" s="107">
        <f>SUMIF(C6:F6,"&gt;0",C6:F6)</f>
        <v>1.1000000000000001</v>
      </c>
      <c r="I6" s="110" t="str">
        <f>IF('Plan de acción 2024'!AK21="","",'Plan de acción 2024'!AK21)</f>
        <v>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v>
      </c>
      <c r="J6" s="156" t="str">
        <f>IF('Plan de acción 2024'!AM21="","",'Plan de acción 2024'!AM21)</f>
        <v>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v>
      </c>
      <c r="K6" s="156" t="str">
        <f>IF('Plan de acción 2024'!AO21="","",'Plan de acción 2024'!AO21)</f>
        <v>El proceso logró girar 17 subsidios educativos durante el trimestre, lo que representa un avance parcial hacia el cumplimiento de la meta. Se revisaron y validaron los 17 subsidios girados, confirmando su correcta ejecución. Sin embargo, el indicador será medido de manera semestral, por lo que el cumplimiento final será evaluado en el próximo trimestre. Es importante mantener un seguimiento continuo a los subsidios pendientes y reforzar la planeación para garantizar el cumplimiento total de la meta semestral. Asimismo, asegurar la correcta documentación lo cual  contribuirá a la transparencia y eficacia del proceso.</v>
      </c>
      <c r="L6" s="111" t="str">
        <f>IF('Plan de acción 2024'!AQ21="","",'Plan de acción 2024'!AQ21)</f>
        <v>El proceso cumplió el 100% del indicador, entregando 49 subsidios educativos en el segundo semestre de 2024, incluyendo 29 nuevos beneficiarios gracias a una nueva convocatoria. Estos resultados reflejan una estartegia efectiva y un impacto positivo en la población afiliada, fortaleciendo el compromiso de la Entidad con la educación. Se sugiere mejorar la promoción de futuras convocatorias para ampliar aún más los beneficios.</v>
      </c>
    </row>
    <row r="7" spans="2:12" s="86" customFormat="1" ht="35.25" customHeight="1" x14ac:dyDescent="0.25">
      <c r="B7" s="105" t="s">
        <v>617</v>
      </c>
      <c r="C7" s="112">
        <f>AVERAGE(C4:C6)</f>
        <v>7.9732936048115641E-2</v>
      </c>
      <c r="D7" s="112">
        <f>AVERAGE(D4:D6)</f>
        <v>0.13804037895511403</v>
      </c>
      <c r="E7" s="112">
        <f>AVERAGE(E4:E6)</f>
        <v>6.706677704194261E-2</v>
      </c>
      <c r="F7" s="112">
        <f>AVERAGE(F4:F6)</f>
        <v>0.60827354672553346</v>
      </c>
      <c r="G7" s="112">
        <f>AVERAGE(G4:G6)</f>
        <v>0.89311363877070582</v>
      </c>
      <c r="I7" s="106"/>
      <c r="J7" s="106"/>
      <c r="K7" s="106"/>
      <c r="L7" s="106"/>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7"/>
  <sheetViews>
    <sheetView zoomScale="90" zoomScaleNormal="90" workbookViewId="0">
      <selection activeCell="J8" sqref="J8"/>
    </sheetView>
  </sheetViews>
  <sheetFormatPr baseColWidth="10" defaultColWidth="10.85546875" defaultRowHeight="15" x14ac:dyDescent="0.25"/>
  <cols>
    <col min="1" max="1" width="3.42578125" style="113" customWidth="1"/>
    <col min="2" max="2" width="37.28515625" style="113" customWidth="1"/>
    <col min="3" max="3" width="11.42578125" style="113" customWidth="1"/>
    <col min="4" max="5" width="11" style="113" customWidth="1"/>
    <col min="6" max="6" width="10.42578125" style="113" customWidth="1"/>
    <col min="7" max="7" width="19.42578125" style="113" customWidth="1"/>
    <col min="8" max="8" width="6" style="113" customWidth="1"/>
    <col min="9" max="9" width="69.7109375" style="113" customWidth="1"/>
    <col min="10" max="12" width="55.85546875" style="113" customWidth="1"/>
    <col min="13" max="16384" width="10.85546875" style="113"/>
  </cols>
  <sheetData>
    <row r="2" spans="2:12" ht="23.25" x14ac:dyDescent="0.35">
      <c r="B2" s="189" t="s">
        <v>625</v>
      </c>
      <c r="C2" s="189"/>
      <c r="D2" s="189"/>
      <c r="E2" s="189"/>
      <c r="F2" s="189"/>
      <c r="G2" s="189"/>
      <c r="I2" s="189" t="s">
        <v>620</v>
      </c>
      <c r="J2" s="189"/>
      <c r="K2" s="189"/>
      <c r="L2" s="189"/>
    </row>
    <row r="3" spans="2:12" ht="45" x14ac:dyDescent="0.25">
      <c r="B3" s="102" t="s">
        <v>607</v>
      </c>
      <c r="C3" s="102" t="s">
        <v>608</v>
      </c>
      <c r="D3" s="102" t="s">
        <v>609</v>
      </c>
      <c r="E3" s="102" t="s">
        <v>610</v>
      </c>
      <c r="F3" s="102" t="s">
        <v>611</v>
      </c>
      <c r="G3" s="102" t="s">
        <v>612</v>
      </c>
      <c r="I3" s="103" t="s">
        <v>613</v>
      </c>
      <c r="J3" s="103" t="s">
        <v>614</v>
      </c>
      <c r="K3" s="103" t="s">
        <v>615</v>
      </c>
      <c r="L3" s="103" t="s">
        <v>616</v>
      </c>
    </row>
    <row r="4" spans="2:12" ht="100.5" customHeight="1" x14ac:dyDescent="0.25">
      <c r="B4" s="114" t="str">
        <f>+'Plan de acción 2024'!G22</f>
        <v xml:space="preserve">Colocación de créditos. </v>
      </c>
      <c r="C4" s="115">
        <f>+'Plan de acción 2024'!V22</f>
        <v>4.5555555555555557E-2</v>
      </c>
      <c r="D4" s="115">
        <f>+'Plan de acción 2024'!Y22</f>
        <v>5.7222222222222223E-2</v>
      </c>
      <c r="E4" s="115">
        <f>+'Plan de acción 2024'!AB22</f>
        <v>0.34499999999999997</v>
      </c>
      <c r="F4" s="115">
        <f>+'Plan de acción 2024'!AE22</f>
        <v>0.28277777777777779</v>
      </c>
      <c r="G4" s="115">
        <f>SUMIF(C4:F4,"&gt;0",C4:F4)</f>
        <v>0.73055555555555551</v>
      </c>
      <c r="I4" s="108" t="str">
        <f>IF('Plan de acción 2024'!AK22="","",'Plan de acción 2024'!AK22)</f>
        <v>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v>
      </c>
      <c r="J4" s="108" t="str">
        <f>IF('Plan de acción 2024'!AM22="","",'Plan de acción 2024'!AM22)</f>
        <v>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v>
      </c>
      <c r="K4" s="108" t="str">
        <f>IF('Plan de acción 2024'!AO22="","",'Plan de acción 2024'!AO22)</f>
        <v>El proceso superó la meta trimestral relacionada con la colocación de créditos, con 621 créditos desembolsados frente a los 600 programados, evidenciando una gestión efectiva. Sin embargo, el cumplimiento total de las solicitudes radicadas se ve afectado por la falta de legalización de documentos por parte de algunos afiliados. Se recomienda implementar estrategias de acompañamiento y comunicación para garantizar la continuidad y eficiencia en los trámites pendientes.</v>
      </c>
      <c r="L4" s="108" t="str">
        <f>IF('Plan de acción 2024'!AQ22="","",'Plan de acción 2024'!AQ22)</f>
        <v>En el último trimestre de 2024, el proceso alcanzó un 127.25% de cumplimiento en el desembolso de créditos, con 509 créditos otorgados frente a los 400 proyectados. Este desempeño refleja una gestión destacada a nivel trimestral.
Sin embargo, a nivel anual, el indicador quedó en un 73.05% de cumplimiento, con 1,315 créditos desembolsados de los 1,800 programados. Esto evidencia un esfuerzo constante por parte del proceso, aunque persisten retos para alcanzar las metas anuales.
Se recomienda reforzar las estrategias de promoción de los créditos disponibles, brindar mayor acompañamiento a los afiliados para facilitar el cumplimiento de los requisitos, y optimizar los tiempos de radicación y desembolso. Asimismo, resulta importante analizar las barreras que limitaron el cumplimiento anual y definir acciones concretas para superarlas en la próxima vigencia.</v>
      </c>
    </row>
    <row r="5" spans="2:12" ht="100.5" customHeight="1" x14ac:dyDescent="0.25">
      <c r="B5" s="114" t="str">
        <f>+'Plan de acción 2024'!G23</f>
        <v>Asegurar el cumplimiento de tiempos en los Créditos hipotecarios.</v>
      </c>
      <c r="C5" s="115">
        <f>+'Plan de acción 2024'!V23</f>
        <v>0.25</v>
      </c>
      <c r="D5" s="115">
        <f>+'Plan de acción 2024'!Y23</f>
        <v>0.25</v>
      </c>
      <c r="E5" s="115">
        <f>+'Plan de acción 2024'!AB23</f>
        <v>0.1875</v>
      </c>
      <c r="F5" s="115">
        <f>+'Plan de acción 2024'!AE23</f>
        <v>8.59375E-2</v>
      </c>
      <c r="G5" s="115">
        <f>SUMIF(C5:F5,"&gt;0",C5:F5)</f>
        <v>0.7734375</v>
      </c>
      <c r="I5" s="108" t="str">
        <f>IF('Plan de acción 2024'!AK23="","",'Plan de acción 2024'!AK23)</f>
        <v>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v>
      </c>
      <c r="J5" s="108" t="str">
        <f>IF('Plan de acción 2024'!AM23="","",'Plan de acción 2024'!AM23)</f>
        <v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v>
      </c>
      <c r="K5" s="108" t="str">
        <f>IF('Plan de acción 2024'!AO23="","",'Plan de acción 2024'!AO23)</f>
        <v>El proceso demostró una gestión eficiente de los créditos hipotecarios, alcanzando un 75% de desembolsos dentro de los plazos establecidos. Durante el tercer trimestre, se desembolsaron 15 de los 20 créditos en un periodo inferior a 30 días, destacando la agilidad del proceso.
Sin embargo, los tiempos asociados a trámites externos continúan siendo un desafío. Para mejorar la experiencia de los afiliados, se recomienda implementar estrategias de colaboración y comunicación con los actores externos, con el fin de agilizar los procedimientos y garantizar una atención más fluida y satisfactoria.</v>
      </c>
      <c r="L5" s="108" t="str">
        <f>IF('Plan de acción 2024'!AQ23="","",'Plan de acción 2024'!AQ23)</f>
        <v>Durante el cuarto trimestre, el proceso cumplió en un 8.59% con el indicador de desembolso oportuno, logrando desembolsar 11 de los 32 créditos hipotecarios dentro del plazo establecido. Sin embargo, 21 créditos superaron los 30 días de procesamiento, lo que representa un 65% de los casos.
Se recomienda investigar las causas de los retrasos y optimizar los procesos involucrados para mejorar la eficiencia y garantizar una mayor satisfacción de los afiliados en futuros períodos.</v>
      </c>
    </row>
    <row r="6" spans="2:12" ht="100.5" customHeight="1" x14ac:dyDescent="0.25">
      <c r="B6" s="114" t="str">
        <f>+'Plan de acción 2024'!G24</f>
        <v>Asegurar el cumplimiento de tiempos en el Crédito de consumo.</v>
      </c>
      <c r="C6" s="115">
        <f>+'Plan de acción 2024'!V24</f>
        <v>0.23148148148148148</v>
      </c>
      <c r="D6" s="115">
        <f>+'Plan de acción 2024'!Y24</f>
        <v>0.18181818181818182</v>
      </c>
      <c r="E6" s="115">
        <f>+'Plan de acción 2024'!AB24</f>
        <v>0.12936772046589018</v>
      </c>
      <c r="F6" s="115">
        <f>+'Plan de acción 2024'!AE24</f>
        <v>0.11477987421383648</v>
      </c>
      <c r="G6" s="115">
        <f>SUMIF(C6:F6,"&gt;0",C6:F6)</f>
        <v>0.65744725797938997</v>
      </c>
      <c r="I6" s="110" t="str">
        <f>IF('Plan de acción 2024'!AK24="","",'Plan de acción 2024'!AK24)</f>
        <v>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v>
      </c>
      <c r="J6" s="110" t="str">
        <f>IF('Plan de acción 2024'!AM24="","",'Plan de acción 2024'!AM24)</f>
        <v>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v>
      </c>
      <c r="K6" s="110" t="str">
        <f>IF('Plan de acción 2024'!AO24="","",'Plan de acción 2024'!AO24)</f>
        <v>El proceso logró desembolsar más del 50% de los créditos en el tiempo establecido, aún persisten demoras en el 48% de los casos debido a retrasos en la entrega y verificación de documentos. Para mejorar este desempeño, se recomienda fortalecer los mecanismos de seguimiento, optimizar la comunicación con los afiliados, implementar alertas tempranas y revisar los procesos internos para agilizar la gestión. La aplicación de estas estrategias seguramente permitirá reducir los tiempos de desembolso, mejorar la eficiencia del indicador y garantizar una mejor experiencia para los afiliados.</v>
      </c>
      <c r="L6" s="110" t="str">
        <f>IF('Plan de acción 2024'!AQ24="","",'Plan de acción 2024'!AQ24)</f>
        <v>Durante el cuarto trimestre, el 54% de los créditos de consumo (258 de 477) superaron el plazo establecido de 15 días, principalmente debido a demoras en la entrega de documentos por parte de los afiliados y en los procesos de verificación. Para optimizar el cumplimiento del indicador, se recomienda implementar alertas tempranas, fortalecer la comunicación con los afiliados sobre los requisitos documentales, agilizar las validaciones internas y establecer tiempos límite para la entrega de documentación.
Para la próxima vigencia, se sugiere ajustar el indicador para reflejar los tiempos efectivos del proceso, considerando únicamente los días en que la documentación esté completa y lista para trámite. Además, se recomienda automatizar el seguimiento a las solicitudes, permitiendo identificar cuellos de botella y mejorar la eficiencia en la gestión de los créditos.</v>
      </c>
    </row>
    <row r="7" spans="2:12" s="116" customFormat="1" ht="21.75" customHeight="1" x14ac:dyDescent="0.25">
      <c r="B7" s="105" t="s">
        <v>617</v>
      </c>
      <c r="C7" s="117">
        <f>+AVERAGE(C4:C6)</f>
        <v>0.17567901234567904</v>
      </c>
      <c r="D7" s="117">
        <f>+AVERAGE(D4:D6)</f>
        <v>0.16301346801346803</v>
      </c>
      <c r="E7" s="117">
        <f>+AVERAGE(E4:E6)</f>
        <v>0.22062257348863004</v>
      </c>
      <c r="F7" s="117">
        <f>+AVERAGE(F4:F6)</f>
        <v>0.16116505066387143</v>
      </c>
      <c r="G7" s="117">
        <f>+AVERAGE(G4:G6)</f>
        <v>0.72048010451164846</v>
      </c>
      <c r="I7" s="113"/>
      <c r="J7" s="113"/>
      <c r="K7" s="113"/>
      <c r="L7" s="113"/>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8"/>
  <sheetViews>
    <sheetView zoomScale="90" zoomScaleNormal="90" workbookViewId="0">
      <selection activeCell="D8" sqref="D8"/>
    </sheetView>
  </sheetViews>
  <sheetFormatPr baseColWidth="10" defaultColWidth="10.85546875" defaultRowHeight="15" x14ac:dyDescent="0.25"/>
  <cols>
    <col min="1" max="1" width="3.42578125" style="113" customWidth="1"/>
    <col min="2" max="2" width="37.28515625" style="113" customWidth="1"/>
    <col min="3" max="3" width="11.42578125" style="113" customWidth="1"/>
    <col min="4" max="5" width="11" style="113" customWidth="1"/>
    <col min="6" max="6" width="10.42578125" style="113" customWidth="1"/>
    <col min="7" max="7" width="19.42578125" style="113" customWidth="1"/>
    <col min="8" max="8" width="6" style="113" customWidth="1"/>
    <col min="9" max="12" width="62.140625" style="113" customWidth="1"/>
    <col min="13" max="16384" width="10.85546875" style="113"/>
  </cols>
  <sheetData>
    <row r="2" spans="2:12" ht="23.25" x14ac:dyDescent="0.35">
      <c r="B2" s="189" t="s">
        <v>625</v>
      </c>
      <c r="C2" s="189"/>
      <c r="D2" s="189"/>
      <c r="E2" s="189"/>
      <c r="F2" s="189"/>
      <c r="G2" s="189"/>
      <c r="I2" s="189" t="s">
        <v>606</v>
      </c>
      <c r="J2" s="189"/>
      <c r="K2" s="189"/>
      <c r="L2" s="189"/>
    </row>
    <row r="3" spans="2:12" ht="45" x14ac:dyDescent="0.25">
      <c r="B3" s="102" t="s">
        <v>607</v>
      </c>
      <c r="C3" s="102" t="s">
        <v>608</v>
      </c>
      <c r="D3" s="102" t="s">
        <v>609</v>
      </c>
      <c r="E3" s="102" t="s">
        <v>610</v>
      </c>
      <c r="F3" s="102" t="s">
        <v>611</v>
      </c>
      <c r="G3" s="102" t="s">
        <v>612</v>
      </c>
      <c r="I3" s="103" t="s">
        <v>613</v>
      </c>
      <c r="J3" s="103" t="s">
        <v>614</v>
      </c>
      <c r="K3" s="103" t="s">
        <v>615</v>
      </c>
      <c r="L3" s="103" t="s">
        <v>616</v>
      </c>
    </row>
    <row r="4" spans="2:12" ht="112.5" customHeight="1" x14ac:dyDescent="0.25">
      <c r="B4" s="114" t="str">
        <f>+'Plan de acción 2024'!G25</f>
        <v xml:space="preserve">Disminuir el porcentaje de cartera vencida por debajo del 24%. </v>
      </c>
      <c r="C4" s="115">
        <f>+'Plan de acción 2024'!V25</f>
        <v>0.21604166666666663</v>
      </c>
      <c r="D4" s="115">
        <f>+'Plan de acción 2024'!Y25</f>
        <v>0.17916666666666664</v>
      </c>
      <c r="E4" s="115">
        <f>+'Plan de acción 2024'!AB25</f>
        <v>0.17291666666666666</v>
      </c>
      <c r="F4" s="115">
        <f>+'Plan de acción 2024'!AE25</f>
        <v>0.17499999999999999</v>
      </c>
      <c r="G4" s="115">
        <f>SUMIF(C4:F4,"&gt;0",C4:F4)</f>
        <v>0.74312500000000004</v>
      </c>
      <c r="I4" s="108" t="str">
        <f>IF('Plan de acción 2024'!AK25="","",'Plan de acción 2024'!AK25)</f>
        <v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v>
      </c>
      <c r="J4" s="108" t="str">
        <f>IF('Plan de acción 2024'!AM25="","",'Plan de acción 2024'!AM25)</f>
        <v>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v>
      </c>
      <c r="K4" s="108" t="str">
        <f>IF('Plan de acción 2024'!AO25="","",'Plan de acción 2024'!AO25)</f>
        <v>El indicador no cumple con la meta establecida, ya que la cartera en estado jurídico alcanzó el 31%, superando en 7 puntos porcentuales lameta de matener por debajo del 24%. Este resultado evidencia la necesidad de reforzar las estrategias de recuperación de cartera y prevenir el aumento de procesos jurídicos. Se recomienda tanto al proceso de cartera como de Jurídica fortalecer sus acciones implementando medidas como la renegociación de deudas, gestión temprana de cobranza y estrategias preventivas para reducir el flujo de cartera hacia procesos jurídicos. Igualmente establecer un plan de monitoreo periódico que permita evaluar el impacto de las acciones correctivas y realizar ajustes oportunos para lograr el cumplimiento del indicador en lospróximos periódos.</v>
      </c>
      <c r="L4" s="108" t="str">
        <f>IF('Plan de acción 2024'!AQ25="","",'Plan de acción 2024'!AQ25)</f>
        <v>El indicador no cumple con la meta establecida, ya que la cartera en estado jurídico nuevamente alcanzó el 31%, superando en 7 puntos porcentuales en la meta estableida de mantener por debajo del 24%. La persistencia de esta tendencia en los últimos dos trimestres evidencia que las estrategias implementadas hasta el momento no han sido suficientes para reducir el nivel de cartera en estado jurídico, lo que hace necesario ajustar y reforzar las acciones correctivas. En este sentido, se recomienda realizar una revisión integral de los resultados obtenidos durante el año y presentar un plan de mejora actualizado para la próxima vigencia. Además, la evaluación de posibles ajustes al indicador debe considerar tanto la sostenibilidad financiera de la entidad como la efectividad de las estrategias de cobranza implementadas.</v>
      </c>
    </row>
    <row r="5" spans="2:12" ht="112.5" customHeight="1" x14ac:dyDescent="0.25">
      <c r="B5" s="114" t="str">
        <f>+'Plan de acción 2024'!G26</f>
        <v xml:space="preserve">Aplicar el total del valor recaudado de las diferentes pagadurías. </v>
      </c>
      <c r="C5" s="115">
        <f>+'Plan de acción 2024'!V26</f>
        <v>0.2488533046754732</v>
      </c>
      <c r="D5" s="115">
        <f>+'Plan de acción 2024'!Y26</f>
        <v>0.24971597360357575</v>
      </c>
      <c r="E5" s="115">
        <f>+'Plan de acción 2024'!AB26</f>
        <v>0.24938735943228799</v>
      </c>
      <c r="F5" s="115">
        <f>+'Plan de acción 2024'!AE26</f>
        <v>0.24958190662448668</v>
      </c>
      <c r="G5" s="115">
        <f>SUMIF(C5:F5,"&gt;0",C5:F5)</f>
        <v>0.99753854433582356</v>
      </c>
      <c r="I5" s="108" t="str">
        <f>IF('Plan de acción 2024'!AK26="","",'Plan de acción 2024'!AK26)</f>
        <v>El cumplimiento satisfactorio del desglose de los recaudos recibidos en el primer trimestre de 2024 refleja una gestión eficiente y control de los ingresos.</v>
      </c>
      <c r="J5" s="108" t="str">
        <f>IF('Plan de acción 2024'!AM26="","",'Plan de acción 2024'!AM26)</f>
        <v>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v>
      </c>
      <c r="K5" s="108" t="str">
        <f>IF('Plan de acción 2024'!AO26="","",'Plan de acción 2024'!AO26)</f>
        <v>El cumplimiento del indicador en el tercer trimestre de 2024 ha sido excelente, alcanzando un 99.75% de precisión en el desglose de los recaudos recibidos. Este resultado refleja una gestión eficiente y un adecuado control de los ingresos, ya que la diferencia entre el valor recaudado y el valor desglosado es mínima, lo que evidencia un correcto proceso de conciliación y registro de los recursos. No obstante, a pesar del alto nivel de cumplimiento, se recomienda continuar fortaleciendo los mecanismos de control y verificación para garantizar que el desglose de los recaudos mantenga su precisión en el tiempo. al finalizar el trimestre quedo un valor por recaudar de: $ 23,381,081</v>
      </c>
      <c r="L5" s="108" t="str">
        <f>IF('Plan de acción 2024'!AQ26="","",'Plan de acción 2024'!AQ26)</f>
        <v>El indicador mostró un desempeño excelente durante el año, alcanzando un 99.83% de precisión en el cuarto trimestre, con una mínima diferencia entre el valor recaudado y desglosado. Esto evidencia una gestión eficiente y un adecuado control de los ingresos. Para la siguiente vigencia, se recomienda consolidar las buenas prácticas implementadas y evaluar posibles mejoras en los procesos de conciliación para optimizar aún más la gestión financiera.</v>
      </c>
    </row>
    <row r="6" spans="2:12" ht="112.5" customHeight="1" x14ac:dyDescent="0.25">
      <c r="B6" s="114" t="str">
        <f>+'Plan de acción 2024'!G27</f>
        <v>Disminuir el porcentaje de cartera en "estado persuasivo"</v>
      </c>
      <c r="C6" s="115">
        <f>+'Plan de acción 2024'!V27</f>
        <v>6.2499999999999972E-2</v>
      </c>
      <c r="D6" s="115">
        <f>+'Plan de acción 2024'!Y27</f>
        <v>0.15</v>
      </c>
      <c r="E6" s="115">
        <f>+'Plan de acción 2024'!AB27</f>
        <v>0.12500000000000003</v>
      </c>
      <c r="F6" s="115">
        <f>+'Plan de acción 2024'!AE27</f>
        <v>8.7499999999999994E-2</v>
      </c>
      <c r="G6" s="115">
        <f>SUMIF(C6:F6,"&gt;0",C6:F6)</f>
        <v>0.42500000000000004</v>
      </c>
      <c r="I6" s="108" t="str">
        <f>IF('Plan de acción 2024'!AK27="","",'Plan de acción 2024'!AK27)</f>
        <v>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v>
      </c>
      <c r="J6" s="108" t="str">
        <f>IF('Plan de acción 2024'!AM27="","",'Plan de acción 2024'!AM27)</f>
        <v>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v>
      </c>
      <c r="K6" s="108" t="str">
        <f>IF('Plan de acción 2024'!AO27="","",'Plan de acción 2024'!AO27)</f>
        <v>El indicador no cumple con la meta establecida, ya que la cartera en estado persuasivo se mantuvo en 3%, superando en 1 punto porcentual la meta del 2%. A pesar de la gestión desarrollada por el personal contratado para el cobro, no se logró reducir el porcentaje respecto al trimestre anterior, lo que evidencia la necesidad de reforzar las estrategias de cobranza. Se recomienda intensificar las acciones de seguimiento a los deudores, optimizar los mecanismos de notificación y fortalecer la comunicación para incentivar el pago oportuno, asegurando así una reducción efectiva de la cartera en estado persuasivo</v>
      </c>
      <c r="L6" s="108" t="str">
        <f>IF('Plan de acción 2024'!AQ27="","",'Plan de acción 2024'!AQ27)</f>
        <v>El indicador no cumple con la meta establecida, ya que la cartera en estado persuasivo alcanzó 3.3%, superando en 1.3 puntos porcentuales la meta del 2%. A pesar de los esfuerzos del personal contratado para la gestión de cobro, el porcentaje se incrementó ligeramente respecto al trimestre anterior, lo que indica la necesidad de fortalecer las estrategias de recuperación. Para la próxima vigencia, se recomienda evaluar el desempeño de las acciones implementadas, ajustar los mecanismos de cobranza y considerar estrategias adicionales que permitan mejorar la efectividad en la reducción de la cartera en estado persuasivo.</v>
      </c>
    </row>
    <row r="7" spans="2:12" ht="112.5" customHeight="1" x14ac:dyDescent="0.25">
      <c r="B7" s="114" t="str">
        <f>+'Plan de acción 2024'!G28</f>
        <v>Disminuir el porcentaje de cartera en estado pre-jurídico</v>
      </c>
      <c r="C7" s="115">
        <f>+'Plan de acción 2024'!V28</f>
        <v>5.0000000000000044E-2</v>
      </c>
      <c r="D7" s="115">
        <f>+'Plan de acción 2024'!Y28</f>
        <v>0</v>
      </c>
      <c r="E7" s="115">
        <f>+'Plan de acción 2024'!AB28</f>
        <v>0.15</v>
      </c>
      <c r="F7" s="115">
        <f>+'Plan de acción 2024'!AE28</f>
        <v>0.23749999999999999</v>
      </c>
      <c r="G7" s="115">
        <f>SUMIF(C7:F7,"&gt;0",C7:F7)</f>
        <v>0.4375</v>
      </c>
      <c r="I7" s="110" t="str">
        <f>IF('Plan de acción 2024'!AK28="","",'Plan de acción 2024'!AK28)</f>
        <v>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v>
      </c>
      <c r="J7" s="110" t="str">
        <f>IF('Plan de acción 2024'!AM28="","",'Plan de acción 2024'!AM28)</f>
        <v>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v>
      </c>
      <c r="K7" s="110" t="str">
        <f>IF('Plan de acción 2024'!AO28="","",'Plan de acción 2024'!AO28)</f>
        <v>El indicador no cumple con la meta establecida, ya que la cartera en estado pre-jurídico alcanzó 3%, superando en 1 punto porcentual de la meta del 2%. Sin embargo, se observa una disminución significativa en comparación con periodos anteriores, lo que sugiere un impacto positivo de la gestión de cobro realizasa. Para mejorar estos resultados, se recomienda continuar con el fortalecimiento de las estrategias de recuperación, optimizar los procesos de cobranza y mantener un monitoreo constante para asegurar una tendencia descendente en los próximos meses.</v>
      </c>
      <c r="L7" s="110" t="str">
        <f>IF('Plan de acción 2024'!AQ28="","",'Plan de acción 2024'!AQ28)</f>
        <v>El indicador cumple con la meta establecida, ya que la cartera en estado pre-jurídico alcanzó 2.1%, manteniéndose dentro del límite de la meta. Este resultado refleja una gestión efectiva del cobro pre-jurídico por parte del personal contratado durante la vigencia 2024, evidenciando el impacto positivo de las estrategias implementadas. Para la próxima vigencia, se recomienda consolidar las acciones que han permitido este cumplimiento y evaluar posibles mejoras en los procesos de cobranza para garantizar la sostenibilidad de estos resultados.</v>
      </c>
    </row>
    <row r="8" spans="2:12" s="116" customFormat="1" ht="21.75" customHeight="1" x14ac:dyDescent="0.25">
      <c r="B8" s="105" t="s">
        <v>617</v>
      </c>
      <c r="C8" s="117">
        <f>+AVERAGE(C4:C7)</f>
        <v>0.14434874283553498</v>
      </c>
      <c r="D8" s="117">
        <f>+AVERAGE(D4:D7)</f>
        <v>0.1447206600675606</v>
      </c>
      <c r="E8" s="117">
        <f>+AVERAGE(E4:E7)</f>
        <v>0.17432600652473867</v>
      </c>
      <c r="F8" s="117">
        <f>+AVERAGE(F4:F7)</f>
        <v>0.18739547665612166</v>
      </c>
      <c r="G8" s="117">
        <f>+AVERAGE(G4:G7)</f>
        <v>0.65079088608395597</v>
      </c>
      <c r="I8" s="113"/>
      <c r="J8" s="113"/>
      <c r="K8" s="113"/>
      <c r="L8" s="113"/>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7"/>
  <sheetViews>
    <sheetView zoomScale="90" zoomScaleNormal="90" workbookViewId="0">
      <selection activeCell="K4" sqref="K4"/>
    </sheetView>
  </sheetViews>
  <sheetFormatPr baseColWidth="10" defaultColWidth="10.85546875" defaultRowHeight="14.25" x14ac:dyDescent="0.2"/>
  <cols>
    <col min="1" max="1" width="10.85546875" style="86"/>
    <col min="2" max="2" width="35.42578125" style="86" customWidth="1"/>
    <col min="3" max="6" width="10.85546875" style="86"/>
    <col min="7" max="7" width="14.42578125" style="86" customWidth="1"/>
    <col min="8" max="8" width="6" style="86" customWidth="1"/>
    <col min="9" max="10" width="61.5703125" style="86" customWidth="1"/>
    <col min="11" max="11" width="63.42578125" style="86" customWidth="1"/>
    <col min="12" max="12" width="61.5703125" style="86" customWidth="1"/>
    <col min="13" max="16384" width="10.85546875" style="86"/>
  </cols>
  <sheetData>
    <row r="2" spans="2:12" ht="37.5" customHeight="1" x14ac:dyDescent="0.2">
      <c r="B2" s="190" t="s">
        <v>626</v>
      </c>
      <c r="C2" s="190"/>
      <c r="D2" s="190"/>
      <c r="E2" s="190"/>
      <c r="F2" s="190"/>
      <c r="G2" s="190"/>
      <c r="I2" s="190" t="s">
        <v>606</v>
      </c>
      <c r="J2" s="190"/>
      <c r="K2" s="190"/>
      <c r="L2" s="190"/>
    </row>
    <row r="3" spans="2:12" ht="60.75" thickBot="1" x14ac:dyDescent="0.25">
      <c r="B3" s="102" t="s">
        <v>607</v>
      </c>
      <c r="C3" s="102" t="s">
        <v>608</v>
      </c>
      <c r="D3" s="102" t="s">
        <v>609</v>
      </c>
      <c r="E3" s="102" t="s">
        <v>610</v>
      </c>
      <c r="F3" s="102" t="s">
        <v>611</v>
      </c>
      <c r="G3" s="102" t="s">
        <v>612</v>
      </c>
      <c r="I3" s="103" t="s">
        <v>613</v>
      </c>
      <c r="J3" s="103" t="s">
        <v>614</v>
      </c>
      <c r="K3" s="103" t="s">
        <v>615</v>
      </c>
      <c r="L3" s="103" t="s">
        <v>616</v>
      </c>
    </row>
    <row r="4" spans="2:12" ht="111" customHeight="1" thickBot="1" x14ac:dyDescent="0.25">
      <c r="B4" s="118" t="str">
        <f>+'Plan de acción 2024'!G29</f>
        <v>Realizar la  gestión contractual acorde con la programación establecida en el Plan Anual de Adquisiciones</v>
      </c>
      <c r="C4" s="119">
        <f>+'Plan de acción 2024'!V29</f>
        <v>0.125</v>
      </c>
      <c r="D4" s="119">
        <f>+'Plan de acción 2024'!Y29</f>
        <v>5.5555555555555552E-2</v>
      </c>
      <c r="E4" s="119">
        <f>+'Plan de acción 2024'!AB29</f>
        <v>0.21428571428571427</v>
      </c>
      <c r="F4" s="119">
        <f>+'Plan de acción 2024'!AE29</f>
        <v>0.20833333333333334</v>
      </c>
      <c r="G4" s="119">
        <f>SUMIF(C4:F4,"&gt;0",C4:F4)</f>
        <v>0.60317460317460314</v>
      </c>
      <c r="I4" s="108" t="str">
        <f>IF('Plan de acción 2024'!AK29="","",'Plan de acción 2024'!AK29)</f>
        <v>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v>
      </c>
      <c r="J4" s="108" t="str">
        <f>IF('Plan de acción 2024'!AM29="","",'Plan de acción 2024'!AM29)</f>
        <v>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v>
      </c>
      <c r="K4" s="108" t="str">
        <f>IF('Plan de acción 2024'!AO29="","",'Plan de acción 2024'!AO29)</f>
        <v>El indicador cumple parcialmente con la meta establecida, alcanzando 12 de las 14 contrataciones programadas. De estas, 8 fueron ejecutadas con éxito, mientras que 4 están en seguimiento y programadas para ejecutarse en el siguiente trimestre (mantenimiento de extintores, póliza de seguros, papelería y mantenimiento correctivo y preventivo). No obstante, 2 contrataciones aún están pendientes de definir (levantamiento de infraestructura tecnológica y contrato de interdisciplinarios). Para garantizar el cumplimiento total del indicador, se recomienda continuar con el seguimiento a las contrataciones en proceso y agilizar la toma de decisiones respecto a las pendientes, asegurando que se ejecuten dentro de los plazos establecidos en el Plan Anual de Adquisiciones.</v>
      </c>
      <c r="L4" s="108" t="str">
        <f>IF('Plan de acción 2024'!AQ29="","",'Plan de acción 2024'!AQ29)</f>
        <v>El indicador cumple parcialmente, alcanzando 5 de las 6 contrataciones programadas para el cuarto trimestre. Además, se completaron las 4 contrataciones pendientes del trimestre anterior (contratos 24-0019, 24-0012, 24-0014, 24-0015 y 24-0019), evidenciando un adecuado seguimiento y ejecución. No obstante, queda pendiente la actualización de iSolution, aunque se reconoce que el proceso ha realizado el respectivo seguimiento. Para la próxima vigencia, se recomienda priorizar la gestión de esta actualización y continuar con el monitoreo riguroso de la ejecución contractual para garantizar el cumplimiento total del indicador.</v>
      </c>
    </row>
    <row r="5" spans="2:12" ht="111" customHeight="1" thickBot="1" x14ac:dyDescent="0.25">
      <c r="B5" s="118" t="str">
        <f>+'Plan de acción 2024'!G30</f>
        <v>Publicar a los entes de control del SIA observa</v>
      </c>
      <c r="C5" s="119">
        <f>+'Plan de acción 2024'!V30</f>
        <v>0.25</v>
      </c>
      <c r="D5" s="119">
        <f>+'Plan de acción 2024'!Y30</f>
        <v>0.16666666666666666</v>
      </c>
      <c r="E5" s="119">
        <f>+'Plan de acción 2024'!AB30</f>
        <v>0.25</v>
      </c>
      <c r="F5" s="119">
        <f>+'Plan de acción 2024'!AE30</f>
        <v>0.25</v>
      </c>
      <c r="G5" s="119">
        <f>SUMIF(C5:F5,"&gt;0",C5:F5)</f>
        <v>0.91666666666666663</v>
      </c>
      <c r="I5" s="108" t="str">
        <f>IF('Plan de acción 2024'!AK30="","",'Plan de acción 2024'!AK30)</f>
        <v>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v>
      </c>
      <c r="J5" s="108" t="str">
        <f>IF('Plan de acción 2024'!AM30="","",'Plan de acción 2024'!AM30)</f>
        <v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v>
      </c>
      <c r="K5" s="108" t="str">
        <f>IF('Plan de acción 2024'!AO30="","",'Plan de acción 2024'!AO30)</f>
        <v>El indicador se cumplió satisfactoriamente en el tercer trimestre, con la presentación oportuna de los tres reportes mensuales en la plataforma SIA Observa, dentro del plazo establecido de los primeros tres días de cada mes. Para fortalecer el proceso en la próxima vigencia, se recomienda implementar un sistema de alertas automáticas que recuerde las fechas límite, optimizar la carga de información mediante una verificación previa de los datos registrados y realizar un seguimiento continuo para asegurar la calidad y oportunidad de los reportes.</v>
      </c>
      <c r="L5" s="108" t="str">
        <f>IF('Plan de acción 2024'!AQ30="","",'Plan de acción 2024'!AQ30)</f>
        <v>El indicador cumple con la meta establecida, reflejando un adecuado desempeño en la rendición oportuna de los contratos. Se recomienda mantener este cumplimiento y continuar con la documentación adecuada de las evidencias para garantizar la trazabilidad del proceso.
Para la próxima vigencia, se sugiere automatizar alertas internas que notifiquen con anticipación los plazos de reporte, lo que permitirá una gestión más eficiente y oportuna. Adicionalmente, se recomienda realizar una verificación previa de los documentos antes de su carga en la plataforma, con el fin de evitar correcciones innecesarias y agilizar el proceso de rendición.</v>
      </c>
    </row>
    <row r="6" spans="2:12" ht="111" customHeight="1" thickBot="1" x14ac:dyDescent="0.25">
      <c r="B6" s="118" t="str">
        <f>+'Plan de acción 2024'!G31</f>
        <v xml:space="preserve">Verificar el comportamiento  de los proveedores </v>
      </c>
      <c r="C6" s="119">
        <f>+'Plan de acción 2024'!V31</f>
        <v>0.16666666666666666</v>
      </c>
      <c r="D6" s="119">
        <f>+'Plan de acción 2024'!Y31</f>
        <v>0.16666666666666666</v>
      </c>
      <c r="E6" s="119">
        <f>+'Plan de acción 2024'!AB31</f>
        <v>0.25</v>
      </c>
      <c r="F6" s="119">
        <f>+'Plan de acción 2024'!AE31</f>
        <v>0.25</v>
      </c>
      <c r="G6" s="119">
        <f>SUMIF(C6:F6,"&gt;0",C6:F6)</f>
        <v>0.83333333333333326</v>
      </c>
      <c r="I6" s="110" t="str">
        <f>IF('Plan de acción 2024'!AK31="","",'Plan de acción 2024'!AK31)</f>
        <v>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v>
      </c>
      <c r="J6" s="110" t="str">
        <f>IF('Plan de acción 2024'!AM31="","",'Plan de acción 2024'!AM31)</f>
        <v>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v>
      </c>
      <c r="K6" s="110" t="str">
        <f>IF('Plan de acción 2024'!AO31="","",'Plan de acción 2024'!AO31)</f>
        <v>El indicador cumple con la meta establecida, ya que se realizaron las reevaluaciones de los 14 contratos finalizados (del 039 al 051), obteniendo en su mayoría un promedio de calificación de 4. No obstante, el contrato 093 fue terminado anticipadamente y no aplicó para reevaluación. Se recomienda continuar con la evaluación rigurosa de los proveedores y establecer un mecanismo para documentar y analizar las terminaciones anticipadas, garantizando así una mejora continua en la gestión contractual.</v>
      </c>
      <c r="L6" s="110" t="str">
        <f>IF('Plan de acción 2024'!AQ31="","",'Plan de acción 2024'!AQ31)</f>
        <v>Durante el cuarto trimestre, se verificó en la red de la CSC que la mayoría de los contratos finalizaron en diciembre, contando con sus respectivas actas de terminación. Asimismo, la reevaluación de los contratos obtuvo calificaciones entre 4 y 5.
Se identificó que cinco contratos fueron reservados para la siguiente vigencia, asegurando su continuidad. El indicador cumple con lo establecido; sin embargo, se recomienda al proceso mantener actualizada la red de la entidad con toda la documentación contractual, garantizando la trazabilidad y transparencia en la gestión.</v>
      </c>
    </row>
    <row r="7" spans="2:12" ht="36" customHeight="1" thickBot="1" x14ac:dyDescent="0.25">
      <c r="B7" s="105" t="s">
        <v>617</v>
      </c>
      <c r="C7" s="100">
        <f>+AVERAGE(C4:C6)</f>
        <v>0.18055555555555555</v>
      </c>
      <c r="D7" s="100">
        <f>+AVERAGE(D4:D6)</f>
        <v>0.12962962962962962</v>
      </c>
      <c r="E7" s="100">
        <f>+AVERAGE(E4:E6)</f>
        <v>0.23809523809523811</v>
      </c>
      <c r="F7" s="100">
        <f>+AVERAGE(F4:F6)</f>
        <v>0.23611111111111113</v>
      </c>
      <c r="G7" s="100">
        <f>+AVERAGE(G4:G6)</f>
        <v>0.78439153439153431</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zoomScale="90" zoomScaleNormal="90" workbookViewId="0">
      <selection activeCell="J7" sqref="J7"/>
    </sheetView>
  </sheetViews>
  <sheetFormatPr baseColWidth="10" defaultColWidth="10.85546875" defaultRowHeight="14.25" x14ac:dyDescent="0.2"/>
  <cols>
    <col min="1" max="1" width="4.28515625" style="86" customWidth="1"/>
    <col min="2" max="2" width="38.42578125" style="86" customWidth="1"/>
    <col min="3" max="6" width="10.85546875" style="86"/>
    <col min="7" max="7" width="17" style="86" customWidth="1"/>
    <col min="8" max="8" width="6" style="86" customWidth="1"/>
    <col min="9" max="11" width="62.7109375" style="86" customWidth="1"/>
    <col min="12" max="12" width="58.85546875" style="86" customWidth="1"/>
    <col min="13" max="16384" width="10.85546875" style="86"/>
  </cols>
  <sheetData>
    <row r="2" spans="2:12" ht="15" x14ac:dyDescent="0.25">
      <c r="B2" s="191" t="s">
        <v>627</v>
      </c>
      <c r="C2" s="191"/>
      <c r="D2" s="191"/>
      <c r="E2" s="191"/>
      <c r="F2" s="191"/>
      <c r="G2" s="191"/>
      <c r="I2" s="191" t="s">
        <v>606</v>
      </c>
      <c r="J2" s="191"/>
      <c r="K2" s="191"/>
      <c r="L2" s="191"/>
    </row>
    <row r="3" spans="2:12" ht="45" x14ac:dyDescent="0.2">
      <c r="B3" s="102" t="s">
        <v>607</v>
      </c>
      <c r="C3" s="102" t="s">
        <v>608</v>
      </c>
      <c r="D3" s="102" t="s">
        <v>609</v>
      </c>
      <c r="E3" s="102" t="s">
        <v>610</v>
      </c>
      <c r="F3" s="102" t="s">
        <v>611</v>
      </c>
      <c r="G3" s="102" t="s">
        <v>612</v>
      </c>
      <c r="I3" s="103" t="s">
        <v>613</v>
      </c>
      <c r="J3" s="103" t="s">
        <v>614</v>
      </c>
      <c r="K3" s="103" t="s">
        <v>615</v>
      </c>
      <c r="L3" s="103" t="s">
        <v>616</v>
      </c>
    </row>
    <row r="4" spans="2:12" ht="88.5" customHeight="1" x14ac:dyDescent="0.2">
      <c r="B4" s="120" t="str">
        <f>+'Plan de acción 2024'!G32</f>
        <v>Realizar mantenimiento preventivo a los equipos de cómputo, impresoras, scanner y equipo de la red de la entidad</v>
      </c>
      <c r="C4" s="121">
        <f>+'Plan de acción 2024'!V32</f>
        <v>0.1</v>
      </c>
      <c r="D4" s="119">
        <f>+'Plan de acción 2024'!Y32</f>
        <v>0.3</v>
      </c>
      <c r="E4" s="119">
        <f>+'Plan de acción 2024'!AB32</f>
        <v>0.3</v>
      </c>
      <c r="F4" s="119">
        <f>+'Plan de acción 2024'!AE32</f>
        <v>0.3</v>
      </c>
      <c r="G4" s="122">
        <f>SUMIF(C4:F4,"&gt;0",C4:F4)</f>
        <v>1</v>
      </c>
      <c r="I4" s="108" t="str">
        <f>IF('Plan de acción 2024'!AK32="","",'Plan de acción 2024'!AK32)</f>
        <v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v>
      </c>
      <c r="J4" s="108" t="str">
        <f>IF('Plan de acción 2024'!AM32="","",'Plan de acción 2024'!AM32)</f>
        <v>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v>
      </c>
      <c r="K4" s="108" t="str">
        <f>IF('Plan de acción 2024'!AO32="","",'Plan de acción 2024'!AO32)</f>
        <v>El indicador cumple con la meta establecida, ya que se realizaron 36 mantenimientos preventivos según el Plan de Mantenimiento de Equipos de Cómputo 2024, abarcando los equipos de la Subgerencia Corporativa y la Oficina de Créditos y Cartera. No obstante, se recomienda fortalecer la evidencia documental del proceso mediante el envío de un registro fotográfico, lo que permitirá mejorar la trazabilidad y verificación de las actividades realizadas.</v>
      </c>
      <c r="L4" s="108" t="str">
        <f>IF('Plan de acción 2024'!AQ32="","",'Plan de acción 2024'!AQ32)</f>
        <v>El indicador cumple con la meta establecida, ya que se llevaron a cabo 22 mantenimientos preventivos conforme al Plan de Mantenimiento de Equipos de Cómputo 2024, cubriendo los equipos de Archivo, Almacén, Portería y Atención al Cliente. No obstante, no se cuenta con un registro fotográfico u otro tipo de evidencia documental que respalde las actividades realizadas. Se recomienda fortalecer la documentación de los mantenimientos, asegurando la inclusión de registros visuales u otros soportes que permitan verificar y dar trazabilidad a las intervenciones efectuadas.</v>
      </c>
    </row>
    <row r="5" spans="2:12" ht="88.5" customHeight="1" x14ac:dyDescent="0.2">
      <c r="B5" s="120" t="str">
        <f>+'Plan de acción 2024'!G33</f>
        <v>Realizar mantenimiento correctivo cuando sea necesario  a los equipos de cómputo, impresoras, scanner y equipo de la red de la entidad, asi como soporte al usuario.</v>
      </c>
      <c r="C5" s="121">
        <f>+'Plan de acción 2024'!V33</f>
        <v>0.25</v>
      </c>
      <c r="D5" s="119">
        <f>+'Plan de acción 2024'!Y33</f>
        <v>0.25</v>
      </c>
      <c r="E5" s="119">
        <f>+'Plan de acción 2024'!AB33</f>
        <v>0.25</v>
      </c>
      <c r="F5" s="119">
        <f>+'Plan de acción 2024'!AE33</f>
        <v>0.25</v>
      </c>
      <c r="G5" s="122">
        <f>SUMIF(C5:F5,"&gt;0",C5:F5)</f>
        <v>1</v>
      </c>
      <c r="I5" s="108" t="str">
        <f>IF('Plan de acción 2024'!AK33="","",'Plan de acción 2024'!AK33)</f>
        <v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v>
      </c>
      <c r="J5" s="108" t="str">
        <f>IF('Plan de acción 2024'!AM33="","",'Plan de acción 2024'!AM33)</f>
        <v>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v>
      </c>
      <c r="K5" s="108" t="str">
        <f>IF('Plan de acción 2024'!AO33="","",'Plan de acción 2024'!AO33)</f>
        <v>El indicador cumple con la meta establecida, ya que se realizó mantenimiento correctivo a los equipos de la red y soporte a los usuarios conforme a las necesidades presentadas. Se documentaron 41 reportes que incluyen solución a usuarios, tickets de Novasoft, cierres de usuarios, entre otros. Se recomienda continuar con el registro detallado de las actividades realizadas para fortalecer la trazabilidad del soporte técnico y optimizar la gestión de mantenimiento.</v>
      </c>
      <c r="L5" s="108" t="str">
        <f>IF('Plan de acción 2024'!AQ33="","",'Plan de acción 2024'!AQ33)</f>
        <v>El indicador cumple con la meta establecida, ya que se realizaron mantenimientos correctivos a los equipos y soporte a los usuarios, atendiendo las solicitudes presentadas. Se documentaron 59 reportes, que incluyen soluciones a peticiones de funcionarios, tickets de Novasoft, aperturas y cierres de correos, entre otros. Se recomienda incluir en los reportes información sobre el estado y progreso de cada solicitud, con el objetivo de mejorar el seguimiento y la comunicación con los usuarios.</v>
      </c>
    </row>
    <row r="6" spans="2:12" ht="88.5" customHeight="1" x14ac:dyDescent="0.2">
      <c r="B6" s="120" t="str">
        <f>+'Plan de acción 2024'!G34</f>
        <v xml:space="preserve">Adquirir los equipos tecnológicos requeridos por la entidad. </v>
      </c>
      <c r="C6" s="121">
        <f>+'Plan de acción 2024'!V34</f>
        <v>0.25</v>
      </c>
      <c r="D6" s="119">
        <f>+'Plan de acción 2024'!Y34</f>
        <v>0.25</v>
      </c>
      <c r="E6" s="119">
        <f>+'Plan de acción 2024'!AB34</f>
        <v>0.25</v>
      </c>
      <c r="F6" s="119">
        <f>+'Plan de acción 2024'!AE34</f>
        <v>0.25</v>
      </c>
      <c r="G6" s="122">
        <f>SUMIF(C6:F6,"&gt;0",C6:F6)</f>
        <v>1</v>
      </c>
      <c r="I6" s="108" t="str">
        <f>IF('Plan de acción 2024'!AK34="","",'Plan de acción 2024'!AK34)</f>
        <v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v>
      </c>
      <c r="J6" s="108" t="str">
        <f>IF('Plan de acción 2024'!AM34="","",'Plan de acción 2024'!AM34)</f>
        <v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v>
      </c>
      <c r="K6" s="108" t="str">
        <f>IF('Plan de acción 2024'!AO34="","",'Plan de acción 2024'!AO34)</f>
        <v>Durante el tercer trimestre no se realizó la gestión ni adquisición de nuevos proyectos tecnológicos. No obstante, se destaca que se mantienen en ejecución las Órdenes de Compra y Contratos de alquiler de equipos tecnológicos e infraestructura tecnológica, asegurando la continuidad operativa. Se recomienda analizar las necesidades tecnológicas de la entidad y planificar futuras adquisiciones, con el objetivo de fortalecer la actualización y optimización de los recursos tecnológicos.</v>
      </c>
      <c r="L6" s="108" t="str">
        <f>IF('Plan de acción 2024'!AQ34="","",'Plan de acción 2024'!AQ34)</f>
        <v>El indicador cumple con la gestión y adquisición de proyectos tecnológicos, evidenciando avances en la ejecución de contratos orientados a fortalecer la infraestructura tecnológica de la entidad.
Durante el trimestre, se formalizaron los siguientes contratos:
Contrato No. 24-105: Actualización y soporte del ERP Novasoft.
Contrato No. 24-017: Adquisición de cinco (5) licencias de Office.
Contrato No. 24-011: Compra de 87 licencias de antivirus.
Estos avances reflejan una gestión efectiva en la actualización y mantenimiento de los sistemas tecnológicos. Se recomienda continuar con el seguimiento a la ejecución de estos contratos para asegurar su cumplimiento y el adecuado aprovechamiento de los recursos adquiridos.</v>
      </c>
    </row>
    <row r="7" spans="2:12" ht="88.5" customHeight="1" x14ac:dyDescent="0.2">
      <c r="B7" s="120" t="str">
        <f>+'Plan de acción 2024'!G35</f>
        <v xml:space="preserve">Publicación y seguimiento del Plan de Tratamiento de Riesgos de Seguridad y Privacidad de la Información, Plan de Seguridad y Privacidad de la Información y PETIC. </v>
      </c>
      <c r="C7" s="121">
        <f>+'Plan de acción 2024'!V35</f>
        <v>0.25</v>
      </c>
      <c r="D7" s="119">
        <f>+'Plan de acción 2024'!Y35</f>
        <v>0.22727272727272727</v>
      </c>
      <c r="E7" s="119">
        <f>+'Plan de acción 2024'!AB35</f>
        <v>0.11538461538461539</v>
      </c>
      <c r="F7" s="119">
        <f>+'Plan de acción 2024'!AE35</f>
        <v>2.6315789473684209E-2</v>
      </c>
      <c r="G7" s="122">
        <f>SUMIF(C7:F7,"&gt;0",C7:F7)</f>
        <v>0.61897313213102689</v>
      </c>
      <c r="I7" s="108" t="str">
        <f>IF('Plan de acción 2024'!AK35="","",'Plan de acción 2024'!AK35)</f>
        <v>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v>
      </c>
      <c r="J7" s="108" t="str">
        <f>IF('Plan de acción 2024'!AM35="","",'Plan de acción 2024'!AM35)</f>
        <v>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v>
      </c>
      <c r="K7" s="108" t="str">
        <f>IF('Plan de acción 2024'!AO35="","",'Plan de acción 2024'!AO35)</f>
        <v>El indicador presenta un cumplimiento parcial, ya que de las 13 actividades programadas en los planes de tratamiento de riesgos, seguridad y privacidad de la información, solo 6 fueron ejecutadas en su totalidad.
En el PETIC, todas las actividades fueron completadas satisfactoriamente. Sin embargo, quedan pendientes actividades correspondientes al Plan de Riesgos de Seguridad y al Plan de Seguridad y Privacidad de la Información, lo que requiere un seguimiento adicional para garantizar su ejecución dentro de los plazos establecidos.
Se recomienda reforzar la gestión y priorización de las actividades pendientes, asegurando su cumplimiento oportuno y alineación con los objetivos de seguridad y privacidad de la entidad.</v>
      </c>
      <c r="L7" s="108" t="str">
        <f>IF('Plan de acción 2024'!AQ35="","",'Plan de acción 2024'!AQ35)</f>
        <v>De acuerdo con las evidencias aportadas y el seguimiento a los planes. El indicador presenta un cumplimiento parcial, ya que de las 19 actividades programadas, solo 2 fueron ejecutadas en su totalidad, evidenciando un retraso en la implementación de los planes. 
En el PETIC, todas las actividades fueron completadas según lo programado. Sin embargo, aún quedan pendientes acciones dentro del Plan de Riesgos de Seguridad y el Plan de Seguridad y Privacidad de la Información, lo que resalta la necesidad de fortalecer el seguimiento y ejecución de estas actividades.
Para la próxima vigencia, se recomienda ajustar los cronogramas de trabajo, priorizando actividades que puedan ser ejecutadas en el corto plazo y redistribuyendo aquellas que requieran mayor planificación. Asimismo, es clave fortalecer el monitoreo del avance de cada plan y establecer mecanismos que garanticen su cumplimiento dentro de los plazos establecidos.</v>
      </c>
    </row>
    <row r="8" spans="2:12" ht="88.5" customHeight="1" x14ac:dyDescent="0.2">
      <c r="B8" s="120" t="str">
        <f>+'Plan de acción 2024'!G36</f>
        <v>Actualización, publicación y seguimiento al Plan Institucional de Archivos de la Entidad  (PINAR).</v>
      </c>
      <c r="C8" s="121">
        <f>+'Plan de acción 2024'!V36</f>
        <v>0.25</v>
      </c>
      <c r="D8" s="119">
        <f>+'Plan de acción 2024'!Y36</f>
        <v>0.25</v>
      </c>
      <c r="E8" s="119">
        <f>+'Plan de acción 2024'!AB36</f>
        <v>0.21428571428571427</v>
      </c>
      <c r="F8" s="119">
        <f>+'Plan de acción 2024'!AE36</f>
        <v>0.25</v>
      </c>
      <c r="G8" s="122">
        <f>SUMIF(C8:F8,"&gt;0",C8:F8)</f>
        <v>0.9642857142857143</v>
      </c>
      <c r="I8" s="110" t="str">
        <f>IF('Plan de acción 2024'!AK36="","",'Plan de acción 2024'!AK36)</f>
        <v>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v>
      </c>
      <c r="J8" s="110" t="str">
        <f>IF('Plan de acción 2024'!AM36="","",'Plan de acción 2024'!AM36)</f>
        <v>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v>
      </c>
      <c r="K8" s="110" t="str">
        <f>IF('Plan de acción 2024'!AO36="","",'Plan de acción 2024'!AO36)</f>
        <v>El indicador cumple con la meta establecida, ya que de las 6 actividades programadas, todas fueron ejecutadas satisfactoriamente.
Adicionalmente, se encuentra en proceso una actividad relacionada con la eliminación de documentos, la cual aún no ha finalizado debido a que se está llevando a cabo el escaneo y organización de la información, conforme a las tablas de retención documental.
Se recomienda continuar con el seguimiento de esta actividad, asegurando que el proceso de digitalización se complete en los tiempos establecidos para proceder con la eliminación de los documentos de acuerdo con la normatividad vigente.</v>
      </c>
      <c r="L8" s="110" t="str">
        <f>IF('Plan de acción 2024'!AQ36="","",'Plan de acción 2024'!AQ36)</f>
        <v>El indicador cumple con la meta establecida, ya que se ejecutaron las 4 actividades programadas. Se asignó 1 Terabyte en el servidor local para el resguardo del archivo digital y se amplió el espacio físico en la bodega de archivo central con capacidad para 168 cajas. Además, se mantuvo el control ambiental del archivo dentro de los parámetros adecuados y la digitalización de garantías está al día. No se evidenció gestión en la eliminación de archivos, por lo que se recomienda retomar esta actividad conforme a las tablas de retención documental en la próxima vigencia.</v>
      </c>
    </row>
    <row r="9" spans="2:12" ht="38.25" customHeight="1" x14ac:dyDescent="0.2">
      <c r="B9" s="105" t="s">
        <v>617</v>
      </c>
      <c r="C9" s="100">
        <f>+AVERAGE(C4:C8)</f>
        <v>0.22000000000000003</v>
      </c>
      <c r="D9" s="100">
        <f>+AVERAGE(D4:D8)</f>
        <v>0.25545454545454549</v>
      </c>
      <c r="E9" s="100">
        <f>+AVERAGE(E4:E8)</f>
        <v>0.22593406593406593</v>
      </c>
      <c r="F9" s="100">
        <f>+AVERAGE(F4:F8)</f>
        <v>0.21526315789473688</v>
      </c>
      <c r="G9" s="100">
        <f>+AVERAGE(G4:G8)</f>
        <v>0.91665176928334824</v>
      </c>
    </row>
  </sheetData>
  <mergeCells count="2">
    <mergeCell ref="B2:G2"/>
    <mergeCell ref="I2:L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acción 2024</vt:lpstr>
      <vt:lpstr>Cumplimiento 2024</vt:lpstr>
      <vt:lpstr>Direccionamiento Estrategico</vt:lpstr>
      <vt:lpstr>Atención al Cliente</vt:lpstr>
      <vt:lpstr>Bienestar</vt:lpstr>
      <vt:lpstr>Crédito</vt:lpstr>
      <vt:lpstr>Cartera</vt:lpstr>
      <vt:lpstr>Gestión Contractual</vt:lpstr>
      <vt:lpstr>Gestión de la Información</vt:lpstr>
      <vt:lpstr>Gestión de Recursos Físicos</vt:lpstr>
      <vt:lpstr>Gestión de Talento Humano</vt:lpstr>
      <vt:lpstr>Gestión Financiera</vt:lpstr>
      <vt:lpstr>Gestión Jurídica</vt:lpstr>
      <vt:lpstr>Gestion del Mejoramiento</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Vargas Rodriguez</dc:creator>
  <dc:description/>
  <cp:lastModifiedBy>CARLOS FRANCISCO BUITRAGO FORERO</cp:lastModifiedBy>
  <cp:revision>1</cp:revision>
  <cp:lastPrinted>2024-04-15T15:12:15Z</cp:lastPrinted>
  <dcterms:created xsi:type="dcterms:W3CDTF">2021-12-01T18:51:22Z</dcterms:created>
  <dcterms:modified xsi:type="dcterms:W3CDTF">2025-02-13T19:06:06Z</dcterms:modified>
  <dc:language>es-419</dc:language>
</cp:coreProperties>
</file>