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vargas\Documents\DOCUMENTOS 2026\"/>
    </mc:Choice>
  </mc:AlternateContent>
  <xr:revisionPtr revIDLastSave="0" documentId="13_ncr:1_{378227C4-4FDB-4B75-8EC1-A0C38B7719B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 de acción 2026" sheetId="15" r:id="rId1"/>
    <sheet name="Control de Cambios" sheetId="16" r:id="rId2"/>
  </sheets>
  <calcPr calcId="191029"/>
</workbook>
</file>

<file path=xl/calcChain.xml><?xml version="1.0" encoding="utf-8"?>
<calcChain xmlns="http://schemas.openxmlformats.org/spreadsheetml/2006/main">
  <c r="AH44" i="15" l="1"/>
  <c r="AH68" i="15" s="1"/>
  <c r="AC60" i="15" l="1"/>
  <c r="AF60" i="15"/>
  <c r="Z60" i="15"/>
  <c r="AF59" i="15"/>
  <c r="Z59" i="15"/>
  <c r="AG59" i="15" s="1"/>
  <c r="AF58" i="15"/>
  <c r="AC58" i="15"/>
  <c r="Z58" i="15"/>
  <c r="W58" i="15"/>
  <c r="AG58" i="15" s="1"/>
  <c r="AG60" i="15" l="1"/>
  <c r="AH58" i="15"/>
  <c r="AC49" i="15"/>
  <c r="AF44" i="15"/>
  <c r="AC44" i="15"/>
  <c r="Z44" i="15"/>
  <c r="W44" i="15"/>
  <c r="AF36" i="15"/>
  <c r="AC36" i="15"/>
  <c r="Z36" i="15"/>
  <c r="W36" i="15"/>
  <c r="AF22" i="15"/>
  <c r="AC22" i="15"/>
  <c r="Z22" i="15"/>
  <c r="W22" i="15"/>
  <c r="AF66" i="15"/>
  <c r="AC66" i="15"/>
  <c r="Z66" i="15"/>
  <c r="W66" i="15"/>
  <c r="AF65" i="15"/>
  <c r="AC65" i="15"/>
  <c r="Z65" i="15"/>
  <c r="W65" i="15"/>
  <c r="AF64" i="15"/>
  <c r="AC64" i="15"/>
  <c r="Z64" i="15"/>
  <c r="W64" i="15"/>
  <c r="AF63" i="15"/>
  <c r="AC63" i="15"/>
  <c r="Z63" i="15"/>
  <c r="W63" i="15"/>
  <c r="AC62" i="15"/>
  <c r="W62" i="15"/>
  <c r="AF61" i="15"/>
  <c r="AC61" i="15"/>
  <c r="Z61" i="15"/>
  <c r="W61" i="15"/>
  <c r="AF57" i="15"/>
  <c r="AC57" i="15"/>
  <c r="Z57" i="15"/>
  <c r="W57" i="15"/>
  <c r="AF56" i="15"/>
  <c r="AC56" i="15"/>
  <c r="AF55" i="15"/>
  <c r="AC55" i="15"/>
  <c r="AF54" i="15"/>
  <c r="AC54" i="15"/>
  <c r="Z54" i="15"/>
  <c r="W54" i="15"/>
  <c r="AF53" i="15"/>
  <c r="AC53" i="15"/>
  <c r="Z53" i="15"/>
  <c r="W53" i="15"/>
  <c r="AF52" i="15"/>
  <c r="AC52" i="15"/>
  <c r="AF51" i="15"/>
  <c r="AC51" i="15"/>
  <c r="Z51" i="15"/>
  <c r="W51" i="15"/>
  <c r="AC50" i="15"/>
  <c r="W50" i="15"/>
  <c r="W49" i="15"/>
  <c r="AF48" i="15"/>
  <c r="AC48" i="15"/>
  <c r="Z48" i="15"/>
  <c r="W48" i="15"/>
  <c r="AF47" i="15"/>
  <c r="AC47" i="15"/>
  <c r="Z47" i="15"/>
  <c r="W47" i="15"/>
  <c r="AF46" i="15"/>
  <c r="AC46" i="15"/>
  <c r="Z46" i="15"/>
  <c r="W46" i="15"/>
  <c r="AF45" i="15"/>
  <c r="AC45" i="15"/>
  <c r="Z45" i="15"/>
  <c r="W45" i="15"/>
  <c r="AF43" i="15"/>
  <c r="AC43" i="15"/>
  <c r="Z43" i="15"/>
  <c r="W43" i="15"/>
  <c r="AF42" i="15"/>
  <c r="AC42" i="15"/>
  <c r="Z42" i="15"/>
  <c r="W42" i="15"/>
  <c r="AF41" i="15"/>
  <c r="Z41" i="15"/>
  <c r="AF40" i="15"/>
  <c r="AC40" i="15"/>
  <c r="Z40" i="15"/>
  <c r="W40" i="15"/>
  <c r="AF39" i="15"/>
  <c r="Z39" i="15"/>
  <c r="AF38" i="15"/>
  <c r="AC38" i="15"/>
  <c r="Z38" i="15"/>
  <c r="W38" i="15"/>
  <c r="AF37" i="15"/>
  <c r="AC37" i="15"/>
  <c r="Z37" i="15"/>
  <c r="W37" i="15"/>
  <c r="AF35" i="15"/>
  <c r="AC35" i="15"/>
  <c r="Z35" i="15"/>
  <c r="W35" i="15"/>
  <c r="AF34" i="15"/>
  <c r="AC34" i="15"/>
  <c r="Z34" i="15"/>
  <c r="W34" i="15"/>
  <c r="AF33" i="15"/>
  <c r="AC33" i="15"/>
  <c r="Z33" i="15"/>
  <c r="W33" i="15"/>
  <c r="AF32" i="15"/>
  <c r="AC32" i="15"/>
  <c r="Z32" i="15"/>
  <c r="W32" i="15"/>
  <c r="AF31" i="15"/>
  <c r="AC31" i="15"/>
  <c r="Z31" i="15"/>
  <c r="W31" i="15"/>
  <c r="AF30" i="15"/>
  <c r="AC30" i="15"/>
  <c r="Z30" i="15"/>
  <c r="W30" i="15"/>
  <c r="AF29" i="15"/>
  <c r="AC29" i="15"/>
  <c r="Z29" i="15"/>
  <c r="W29" i="15"/>
  <c r="AF28" i="15"/>
  <c r="AC28" i="15"/>
  <c r="Z28" i="15"/>
  <c r="W28" i="15"/>
  <c r="AF27" i="15"/>
  <c r="AC27" i="15"/>
  <c r="Z27" i="15"/>
  <c r="W27" i="15"/>
  <c r="AF26" i="15"/>
  <c r="AC26" i="15"/>
  <c r="Z26" i="15"/>
  <c r="W26" i="15"/>
  <c r="AF25" i="15"/>
  <c r="AC25" i="15"/>
  <c r="Z25" i="15"/>
  <c r="W25" i="15"/>
  <c r="AF24" i="15"/>
  <c r="AC24" i="15"/>
  <c r="Z24" i="15"/>
  <c r="W24" i="15"/>
  <c r="AF23" i="15"/>
  <c r="AC23" i="15"/>
  <c r="Z23" i="15"/>
  <c r="W23" i="15"/>
  <c r="AF21" i="15"/>
  <c r="Z21" i="15"/>
  <c r="AF20" i="15"/>
  <c r="AC20" i="15"/>
  <c r="Z20" i="15"/>
  <c r="W20" i="15"/>
  <c r="AF19" i="15"/>
  <c r="AC19" i="15"/>
  <c r="Z19" i="15"/>
  <c r="W19" i="15"/>
  <c r="AF18" i="15"/>
  <c r="AC18" i="15"/>
  <c r="Z18" i="15"/>
  <c r="W18" i="15"/>
  <c r="AF17" i="15"/>
  <c r="AC17" i="15"/>
  <c r="Z17" i="15"/>
  <c r="W17" i="15"/>
  <c r="AE16" i="15"/>
  <c r="AF16" i="15" s="1"/>
  <c r="AB16" i="15"/>
  <c r="AC16" i="15" s="1"/>
  <c r="Y16" i="15"/>
  <c r="Z16" i="15" s="1"/>
  <c r="V16" i="15"/>
  <c r="W16" i="15" s="1"/>
  <c r="AE15" i="15"/>
  <c r="AF15" i="15" s="1"/>
  <c r="AB15" i="15"/>
  <c r="AC15" i="15" s="1"/>
  <c r="Y15" i="15"/>
  <c r="Z15" i="15" s="1"/>
  <c r="V15" i="15"/>
  <c r="W15" i="15" s="1"/>
  <c r="AF14" i="15"/>
  <c r="AC14" i="15"/>
  <c r="Z14" i="15"/>
  <c r="W14" i="15"/>
  <c r="AF13" i="15"/>
  <c r="AC13" i="15"/>
  <c r="Z13" i="15"/>
  <c r="W13" i="15"/>
  <c r="AF12" i="15"/>
  <c r="AC12" i="15"/>
  <c r="Z12" i="15"/>
  <c r="W12" i="15"/>
  <c r="AC11" i="15"/>
  <c r="AG11" i="15" s="1"/>
  <c r="AG63" i="15" l="1"/>
  <c r="AG64" i="15"/>
  <c r="AG65" i="15"/>
  <c r="AG66" i="15"/>
  <c r="AG36" i="15"/>
  <c r="AG50" i="15"/>
  <c r="W56" i="15"/>
  <c r="AG32" i="15"/>
  <c r="AG22" i="15"/>
  <c r="AG21" i="15"/>
  <c r="AG40" i="15"/>
  <c r="AG41" i="15"/>
  <c r="Z52" i="15"/>
  <c r="W55" i="15"/>
  <c r="Z56" i="15"/>
  <c r="AG57" i="15"/>
  <c r="AG27" i="15"/>
  <c r="AG39" i="15"/>
  <c r="AG49" i="15"/>
  <c r="W52" i="15"/>
  <c r="Z55" i="15"/>
  <c r="AG62" i="15"/>
  <c r="AG12" i="15"/>
  <c r="AG51" i="15"/>
  <c r="AG26" i="15"/>
  <c r="AG33" i="15"/>
  <c r="AG34" i="15"/>
  <c r="AG35" i="15"/>
  <c r="AG37" i="15"/>
  <c r="AG42" i="15"/>
  <c r="AG43" i="15"/>
  <c r="AG44" i="15"/>
  <c r="AG45" i="15"/>
  <c r="AG46" i="15"/>
  <c r="AG47" i="15"/>
  <c r="AG48" i="15"/>
  <c r="AG53" i="15"/>
  <c r="AG54" i="15"/>
  <c r="AG23" i="15"/>
  <c r="AG24" i="15"/>
  <c r="AG25" i="15"/>
  <c r="AG28" i="15"/>
  <c r="AG29" i="15"/>
  <c r="AG30" i="15"/>
  <c r="AG31" i="15"/>
  <c r="AG13" i="15"/>
  <c r="AG14" i="15"/>
  <c r="AG17" i="15"/>
  <c r="AG18" i="15"/>
  <c r="AG19" i="15"/>
  <c r="AG20" i="15"/>
  <c r="AG38" i="15"/>
  <c r="AG61" i="15"/>
  <c r="AG15" i="15"/>
  <c r="AG16" i="15"/>
  <c r="AH26" i="15" l="1"/>
  <c r="AH61" i="15"/>
  <c r="AG56" i="15"/>
  <c r="AG55" i="15"/>
  <c r="AG52" i="15"/>
  <c r="AH38" i="15"/>
  <c r="AH30" i="15"/>
  <c r="AH22" i="15"/>
  <c r="AH19" i="15"/>
  <c r="AH11" i="15"/>
  <c r="AH33" i="15"/>
  <c r="AH15" i="15"/>
  <c r="AH51" i="15" l="1"/>
  <c r="AG68" i="15"/>
</calcChain>
</file>

<file path=xl/sharedStrings.xml><?xml version="1.0" encoding="utf-8"?>
<sst xmlns="http://schemas.openxmlformats.org/spreadsheetml/2006/main" count="1009" uniqueCount="451">
  <si>
    <t>Proceso Estrategico
Direccionamiento Estrategico</t>
  </si>
  <si>
    <t>Plan de Acción</t>
  </si>
  <si>
    <t>Vigencia:</t>
  </si>
  <si>
    <t>PLAN DE DESARROLLO</t>
  </si>
  <si>
    <t>OBJETIVO ESTRATÉGICO INSTITUCIONAL</t>
  </si>
  <si>
    <t>Responsable:</t>
  </si>
  <si>
    <t>Equipo de Planeación</t>
  </si>
  <si>
    <t>GOBERNANDO: MÁS QUE UN PLAN!</t>
  </si>
  <si>
    <t>Establecer lineas de acción a corto, mediano y largo plazo que permitan cumplir con los compromisos y objetivos de la Entidad.</t>
  </si>
  <si>
    <t>INDICADORES</t>
  </si>
  <si>
    <t>FRECUENCIA</t>
  </si>
  <si>
    <t>MEDICIÓN 
TRIMESTRE I</t>
  </si>
  <si>
    <t>MEDICIÓN 
TRIMESTRE II</t>
  </si>
  <si>
    <t>MEDICIÓN 
TRIMESTRE III</t>
  </si>
  <si>
    <t>MEDICIÓN 
TRIMESTRE IV</t>
  </si>
  <si>
    <t>ITEM</t>
  </si>
  <si>
    <t>RELACIÓN CON LA POLÍTICA DE CALIDAD</t>
  </si>
  <si>
    <t>OBJETIVO DE CALIDAD</t>
  </si>
  <si>
    <t>PROCESO AL QUE PERTENENCE EN LA ENTIDAD</t>
  </si>
  <si>
    <t>RESPONSABLE</t>
  </si>
  <si>
    <t>DEPENDENCIA(S) ASOCIADA(S)</t>
  </si>
  <si>
    <t>ACTIVIDAD</t>
  </si>
  <si>
    <t>NOMBRE DEL INDICADOR</t>
  </si>
  <si>
    <t>PROPÓSITO DEL INDICADOR</t>
  </si>
  <si>
    <t>FÓRMULA</t>
  </si>
  <si>
    <t>UNIDAD DE MEDIDA</t>
  </si>
  <si>
    <t>TIPO DE INDICADOR</t>
  </si>
  <si>
    <t>LÍNEA BASE (PUNTO  DE PARTIDA)</t>
  </si>
  <si>
    <t>REFERENCIA PARA DEFINICIÓN DE LÍNEA BASE</t>
  </si>
  <si>
    <t>META 
(Qué se pretende lograr?)</t>
  </si>
  <si>
    <t>PONDERACIÓN DENTRO DEL PROCESO</t>
  </si>
  <si>
    <t>Cuándo se mide</t>
  </si>
  <si>
    <t>Cuándo inicia</t>
  </si>
  <si>
    <t>Cuándo finaliza</t>
  </si>
  <si>
    <t>EJECUTADO</t>
  </si>
  <si>
    <t>PROGRAMADO</t>
  </si>
  <si>
    <t>%CUMPLIMIENTO (1)</t>
  </si>
  <si>
    <t>%CUMPLIMIENTO (2)</t>
  </si>
  <si>
    <t>%CUMPLIMIENTO (3)</t>
  </si>
  <si>
    <t>%CUMPLIMIENTO (4)</t>
  </si>
  <si>
    <t>PORCENTAJE  DE CUMPLIMIENTO ACUMULADO (Total acumulado *100 / Meta).</t>
  </si>
  <si>
    <t>PORCENTAJE POR DEPENDENCIAS</t>
  </si>
  <si>
    <t>DIMENSIÓN DE MIPG</t>
  </si>
  <si>
    <t>POLITÍCA DE LA DIMENSIÓN</t>
  </si>
  <si>
    <t>Mejora el Sistema de Gestión de
Calidad y asegura su integración con el Modelo Integrado de Planeación y
Gestión.</t>
  </si>
  <si>
    <t>Generar acciones de mejora continua para optimizar los procesos</t>
  </si>
  <si>
    <t>ESTRATÉGICO
Direccionamiento Estratégico</t>
  </si>
  <si>
    <t>Asesor de Gerencia 
(Grupo de Planeación)</t>
  </si>
  <si>
    <t>Gerencia
Planeación</t>
  </si>
  <si>
    <t>Seguimiento y consolidación del Formulario Único de Reporte de Avances de la Gestión "FURAG" y evaluación del Modelo Integrado de Planeación y Gestión  "MIPG"</t>
  </si>
  <si>
    <t>Evaluar el nivel de avance en el Modelo Integrado de Planeación y Gestión de la CSC</t>
  </si>
  <si>
    <t>Porcentaje</t>
  </si>
  <si>
    <t>Eficacia</t>
  </si>
  <si>
    <t>Anual</t>
  </si>
  <si>
    <t>N/A</t>
  </si>
  <si>
    <t>Direccionamiento estratégico y Planeación</t>
  </si>
  <si>
    <t>Planeación institucional</t>
  </si>
  <si>
    <t>Cantidad</t>
  </si>
  <si>
    <t>trimestral</t>
  </si>
  <si>
    <t>Efectividad al seguimiento del plan de acción</t>
  </si>
  <si>
    <t xml:space="preserve">Número de seguimientos, evaluación y publicación del Plan de acción / Número de trimestres en el año </t>
  </si>
  <si>
    <t>Efectividad</t>
  </si>
  <si>
    <t>Trimestral</t>
  </si>
  <si>
    <t>Seguimiento y actualización al Sistema Único de Información de trámites -SUIT</t>
  </si>
  <si>
    <t>Realizar el seguimiento y actualización al Sistema de trámites de CSC</t>
  </si>
  <si>
    <t>Incrementar la satisfacción y fidelización de nuestros afiliados</t>
  </si>
  <si>
    <t>MISIONAL
 Atención al Cliente</t>
  </si>
  <si>
    <t>Jefe Oficina de Prensa y Atención Cliente</t>
  </si>
  <si>
    <t>Oficina de Prensa y Atención al Cliente</t>
  </si>
  <si>
    <t xml:space="preserve">Atender las PQRSDF dentro de los términos legales. </t>
  </si>
  <si>
    <t>Estimar la capacidad de la CSC para atender las peticiones, quejas, reclamos, sugerencias, denuncias y felicitaciones dentro de los términos legales.</t>
  </si>
  <si>
    <t>(PQRSDF resueltas dentro del término / Total PQRSDF recibidas en el periodo) * 100</t>
  </si>
  <si>
    <t>Promedio de años anteriores</t>
  </si>
  <si>
    <t>Gestión con valores para resultados</t>
  </si>
  <si>
    <t>Servicio al cuidadano</t>
  </si>
  <si>
    <t>Jefe Oficina de Prensa y atención cliente</t>
  </si>
  <si>
    <t xml:space="preserve">Medir la satisfacción del cliente externo, mínimo del 70% de la población atendida </t>
  </si>
  <si>
    <t>Porcentaje de satifacción de los clientes</t>
  </si>
  <si>
    <t>Medir la satisfacción de los clientes mínimo del 70% de la población atendida respecto de los servicios y/o productos ofrecidos por la CSC</t>
  </si>
  <si>
    <t>Eficiencia</t>
  </si>
  <si>
    <t>Resultado del año inmediatamente anterior.</t>
  </si>
  <si>
    <t>Proporcional al trimestre</t>
  </si>
  <si>
    <t>Efectividad vinculaciones</t>
  </si>
  <si>
    <t>Evaluar la efectividad de la gestión de vinculaciones realizadas</t>
  </si>
  <si>
    <t>Estableciendo lineamientos y cumpliendo con los requisitos aplicables al otorgamiento de créditos y planes de bienestar social en el ámbito departamental</t>
  </si>
  <si>
    <t>Mejorar la calidad del servicio en oportunidad, seguridad, confiabilidad y asesoría adecuada</t>
  </si>
  <si>
    <t>MISIONAL
Bienestar</t>
  </si>
  <si>
    <t>Subgerente de Servicios Corporativos
Profesional Universitario  (Bienestar).</t>
  </si>
  <si>
    <t xml:space="preserve">*Subgerencia de Servicios Corporativos.
</t>
  </si>
  <si>
    <t>Beneficiar el 20% de los afiliados y beneficiarios con las actividades y servicios de bienestar que presta la Corporación.</t>
  </si>
  <si>
    <t>Medir el porcentaje de afiliados beneficiados con los servicios de bienestar que presta la Corporación</t>
  </si>
  <si>
    <t>Resultado del año anterior.</t>
  </si>
  <si>
    <t>*Subgerencia de Servicios Corporativos.</t>
  </si>
  <si>
    <t>Beneficiar a los afiliados con actividades   encaminadas a difundir y promocionar el portafolio de servicios de la entidad. Asesorando y tramitando tanto créditos como afiliaciones de manera virtual y presencial  en los diferentes municipios del Departamento.</t>
  </si>
  <si>
    <t xml:space="preserve">Beneficiar a los hijos de nuestros afiliados con incentivo económico que exalta el desempeño académico ICFES SABER 11 y estudiantes  que iniciaron con anterioridad  sus actividades académicas  de nivel superior  y obtuvieron en el último certificado de notas promedio ponderado igual o superior a 3.8 o su equivalente y que cumplan los requisitos establecidos por la entidad.  </t>
  </si>
  <si>
    <t xml:space="preserve">Eficacia de subsidios educativos </t>
  </si>
  <si>
    <t>semestral</t>
  </si>
  <si>
    <t>MISIONAL
Crédito y Cartera</t>
  </si>
  <si>
    <t xml:space="preserve"> Subgerencia de Servicios Corporativos.</t>
  </si>
  <si>
    <t>Garantizar el cumplimiento de la meta del Plan de desarrollo (Meta total del cuatrienio: 8000 créditos)</t>
  </si>
  <si>
    <t>Número de créditos desembolsados en el periodo  * 100 /
Número de créditos programados para desembolsar en el periodo</t>
  </si>
  <si>
    <t>Asegurar el cumplimiento de tiempos en los Créditos hipotecarios.</t>
  </si>
  <si>
    <t>Oportunidad en la gestión de otorgamiento créditos hipotecarios.</t>
  </si>
  <si>
    <t>Verificar el cumplimiento de los términos establecidos para el desembolso de créditos hipotecarios (una vez se encuentren radicados los documentos para iniciar el trámite).</t>
  </si>
  <si>
    <t>Asegurar el cumplimiento de tiempos en el Crédito de consumo.</t>
  </si>
  <si>
    <t>Oportunidad en la gestión de otorgamiento créditos no hipotecarios.</t>
  </si>
  <si>
    <t>Verificar el cumplimiento de los términos establecidos para el desembolso de créditos no hipotecarios (una vez se encuentren radicados los documentos para iniciar el trámite).</t>
  </si>
  <si>
    <t>* Subgerencia de Servicios Corporativos.
* Dirección de cartera y ahorros
* Oficina Asesora Jurídica</t>
  </si>
  <si>
    <t>Indice de cartera vencida</t>
  </si>
  <si>
    <t xml:space="preserve">Mantener el mayor porcentaje posible de saldo de cartera de la entidad en calificación A. </t>
  </si>
  <si>
    <t>Saldo de cartera vencida (diferente a A) *100 / Saldo total de cartera.
(excluir cuentas de orden)</t>
  </si>
  <si>
    <t xml:space="preserve">Efectividad </t>
  </si>
  <si>
    <t>Resultado año anterior</t>
  </si>
  <si>
    <t>* Subgerencia de Servicios Corporativos.
* Dirección de cartera y ahorros</t>
  </si>
  <si>
    <t>Disminuir el porcentaje de cartera en "estado persuasivo"</t>
  </si>
  <si>
    <t>Indice de cartera en estado persuasivo</t>
  </si>
  <si>
    <t>Mantener la cartera en el estado preventivo evitando que esta pase a estado persuasivo</t>
  </si>
  <si>
    <t>Disminuir el porcentaje de cartera en estado pre-jurídico</t>
  </si>
  <si>
    <t>Indice de cartera en estado pre-jurídico</t>
  </si>
  <si>
    <t>Mantener la cartera en el estado persuasivo evitando que esta pase a estado pre - jurídico</t>
  </si>
  <si>
    <t>Evaluar el desempeño de los proveedores externos para que cumplan con los requisitos</t>
  </si>
  <si>
    <t xml:space="preserve">APOYO
Gestión Contractual </t>
  </si>
  <si>
    <t>Jefe de la Oficina de Contratación</t>
  </si>
  <si>
    <t>Direccionamineto estratégico</t>
  </si>
  <si>
    <t>Compras y contratación pública</t>
  </si>
  <si>
    <t>Cada mes se debe medir</t>
  </si>
  <si>
    <t xml:space="preserve">Verificar el comportamiento  de los proveedores </t>
  </si>
  <si>
    <t xml:space="preserve">Reevaluación a proveedores </t>
  </si>
  <si>
    <t>Hacer seguimiento a la evaluación y reevaluación de los proveedores.</t>
  </si>
  <si>
    <t>APOYO
Gestión de la Información</t>
  </si>
  <si>
    <t>Subgerente Administrativa y financiera
Profesional Universitario de Gerencia</t>
  </si>
  <si>
    <t xml:space="preserve">*Subgerencia Administrativa y financiera 
*Gerencia
</t>
  </si>
  <si>
    <t>Realizar mantenimiento preventivo a los equipos de cómputo, impresoras, scanner y equipo de la red de la entidad</t>
  </si>
  <si>
    <t>Gestión de mantenimientos preventivos</t>
  </si>
  <si>
    <t>Evaluar el cumplimiento de los mantenimientos preventivos  de los equipos de cómputo, impresoras, scanner y equipo de la red de la entidad</t>
  </si>
  <si>
    <t xml:space="preserve">Trimestral </t>
  </si>
  <si>
    <t>1. Gestión con valores para resultados.       2. Información y comunicación</t>
  </si>
  <si>
    <t>1. Gobierno digítal y seguridad digítal.                 2. Transparencia y acceso a la información</t>
  </si>
  <si>
    <t>Realizar mantenimiento correctivo cuando sea necesario  a los equipos de cómputo, impresoras, scanner y equipo de la red de la entidad, asi como soporte al usuario.</t>
  </si>
  <si>
    <t>Gestión de mantenimientos correctivos y soporte a usuarios</t>
  </si>
  <si>
    <t xml:space="preserve">Generar mantenimientos correctivos a los equipos de computo, impresoras, scanner y equipos de Red de la entidad, así como brindar soporte técnico a los usuarios según la necesidad. </t>
  </si>
  <si>
    <t>*Subgerencia Administrativa y financiera 
*Gerencia</t>
  </si>
  <si>
    <t>Gestión y adquisición de proyectos tecnológicos</t>
  </si>
  <si>
    <t>Gestionar el proceso de  compra y/o alquiler de equipos tecnológicos y/o infraestructura tecnológica.</t>
  </si>
  <si>
    <t xml:space="preserve">*Subgerencia Administrativa y financiera 
</t>
  </si>
  <si>
    <t xml:space="preserve">Publicación y seguimiento del Plan de Tratamiento de Riesgos de Seguridad y Privacidad de la Información, Plan de Seguridad y Privacidad de la Información y PETIC. </t>
  </si>
  <si>
    <t xml:space="preserve">Verificar el seguimiento y la publicación del Plan de Tratamiento de Riesgos de Seguridad y Privacidad de la Información, Plan de Seguridad y Privacidad de la Información y PETIC. </t>
  </si>
  <si>
    <t>Subgerente Administrativa y financiera
Auxiliar Administrativo</t>
  </si>
  <si>
    <t xml:space="preserve">*Subgerencia Administrativa y financiera 
</t>
  </si>
  <si>
    <t>Actualización, publicación y seguimiento al Plan Institucional de Archivos de la Entidad  (PINAR).</t>
  </si>
  <si>
    <t>Garantizar los recursos para la rentabilidad y sostenibilidad de la Entidad</t>
  </si>
  <si>
    <t>APOYO
Gestión de Recursos Fisicos</t>
  </si>
  <si>
    <t>Subgerente Administrativa y Financiera
Almacenista General</t>
  </si>
  <si>
    <t>Subgerencia Administrativa y Financiera
Almacén</t>
  </si>
  <si>
    <t>NA</t>
  </si>
  <si>
    <t>Cronograma de actividades</t>
  </si>
  <si>
    <t xml:space="preserve"> -</t>
  </si>
  <si>
    <t>Direccionamiento estratégico y gestión con valores para el resultado</t>
  </si>
  <si>
    <t>Planeación institucional, de fortalecimiento organizacional y simplificación del proceso.</t>
  </si>
  <si>
    <t>Subgerencia Administrativa y Financiera</t>
  </si>
  <si>
    <t>Informe semestral de seguimiento a la Inspección preoperativa del parque automotor de la Entidad</t>
  </si>
  <si>
    <t>Semestral</t>
  </si>
  <si>
    <t>Solicitudes de las Dependencias</t>
  </si>
  <si>
    <t xml:space="preserve">Subgerencia Administrativa y Financiera
Almacén </t>
  </si>
  <si>
    <t>Actualizar semestralmente los inventarios  individuales de los funcionarios de la Entidad, los cuales deben estar firmados por el funcionario responsable.</t>
  </si>
  <si>
    <t>Inventarios de bienes muebles  individuales</t>
  </si>
  <si>
    <t>Hacer seguimiento a la actualización de inventarios  individuales de los funcionarios de la entidad.</t>
  </si>
  <si>
    <t xml:space="preserve"> Inventario puestos de trabajo y elementos exportado del software de inventarios por cada funcionario. </t>
  </si>
  <si>
    <t>Reportes de Elementos  de consumo y devolutivos</t>
  </si>
  <si>
    <t xml:space="preserve">Verificar los elementos de consumo y devolutivos de acuerdo al reporte generado por Novasoft frente al físico. </t>
  </si>
  <si>
    <t xml:space="preserve">Reporte del software
Informe de consumos y devolutivos </t>
  </si>
  <si>
    <t>Potencializar el talento humano con el fin de fortalecer sus competencias</t>
  </si>
  <si>
    <t>APOYO
Gestión del Talento Humano</t>
  </si>
  <si>
    <t>Subgerente Administrativa y Financiera
Profesional Universitario TH</t>
  </si>
  <si>
    <t>*Subgerencia Administrativa y Financiera. 
Oficina de TH</t>
  </si>
  <si>
    <t xml:space="preserve">Elaborar, implementar y realizar seguimiento el Plan Institucional de Capacitación  (PIC) para los funcionarios de la CSC </t>
  </si>
  <si>
    <t>Ejecutar y hacer seguimiento a las capacitaciones previstas en el cronograma de actividades</t>
  </si>
  <si>
    <t>Plan institucional de capacitación</t>
  </si>
  <si>
    <t>Talento humano y gestión del conocimiento</t>
  </si>
  <si>
    <t>Talento humano e integridad y gestión del conocimiento y la innovación</t>
  </si>
  <si>
    <t>Elaborar y realizar el seguimiento al Plan de Bienestar e incentivos de la CSC ajustado a los lineamientos normativos, conceptuales y dimensiones estratégicas adoptadas como resultado del diagnóstico institucional.</t>
  </si>
  <si>
    <t xml:space="preserve">Ejecutar el total de las actividades señaladas en el plan de bienestar e incentivos de la CSC. </t>
  </si>
  <si>
    <t>Mi MIPG se articula y complementa con este sistema, además de los sistemas de servicio al ciudadano, gestión ambiental y de seguridad de la información entre otros.</t>
  </si>
  <si>
    <t>Subgerente Administrativa y Financiera
Profesional Universitario SGSST</t>
  </si>
  <si>
    <t>Articular acciones con la ARL y COPASS de la Entidad para garantizar la ejecución del programa SGSST al interior de la entidad.</t>
  </si>
  <si>
    <t>Subgerente Administrativa y Financiera
Técnico operativo TH</t>
  </si>
  <si>
    <t>Seguimiento al cumplimiento del cronograma de liquidación de nómina de funcionarios</t>
  </si>
  <si>
    <t xml:space="preserve">Liquidación de Nómina </t>
  </si>
  <si>
    <t>Aplicación correcta y oportuna de novedades en liquidación de nómina</t>
  </si>
  <si>
    <t>Novedades presentadas dentro de los tiempos del cronograma / Total de novedades atendidas en el periodo</t>
  </si>
  <si>
    <t xml:space="preserve">Talento humano </t>
  </si>
  <si>
    <t>Talento humano e integridad</t>
  </si>
  <si>
    <t>Subgerente Administrativa y Financiera
Tecnico operativo TH</t>
  </si>
  <si>
    <t>*Subgerencia Administrativo y Financiero. 
Oficina de TH</t>
  </si>
  <si>
    <t>Realizar trámite de recobro de incapacidades ante las EPSs</t>
  </si>
  <si>
    <t>Hacer seguimiento al trámite de recobro de incapacidades ante las EPSs</t>
  </si>
  <si>
    <t xml:space="preserve">Número de incapacidades trámitadas ante EPS *100/ Número de incapacidades radicadas en oficina </t>
  </si>
  <si>
    <t>Subgerente Administrativa y Financiera
Profesional Especializado</t>
  </si>
  <si>
    <t>Suscripción de los acuerdos de gestión y seguimiento a su cumplimiento</t>
  </si>
  <si>
    <t>Seguimiento al cumplimiento de los acuerdos de gestión suscritos</t>
  </si>
  <si>
    <t>Apoyar a la entidad en la consolidación oportuna de la información Presupuestal y Contable.</t>
  </si>
  <si>
    <t>APOYO
Gestión Financiera</t>
  </si>
  <si>
    <t>*Subgerente Administrativo y Financiero. 
*Director Técnico de Contabilidad y Presupuesto</t>
  </si>
  <si>
    <t>Subgerencia Administrativa y Financiera
Dirección de Presupuesto y Contabilidad</t>
  </si>
  <si>
    <t xml:space="preserve">Generar información financiera a la alta gerencia necesaria para la Administración del Presupuesto de manera eficiente. </t>
  </si>
  <si>
    <t>Verificar el comportamiento del presupuesto en cuanto al recaudo con el fin de determinar  el porcentaje  en cada trimestre</t>
  </si>
  <si>
    <t>Gestión presupuestal - eficiencia del gasto público</t>
  </si>
  <si>
    <t>Porcentaje de ejecución presupuesto de Gastos</t>
  </si>
  <si>
    <t>Verificar el comportamiento del presupuesto en cuanto al gasto con el fin de determinar  el porcentaje  en cada trimestre</t>
  </si>
  <si>
    <t xml:space="preserve">No. de  informes presentados trimestralmente / No. de informes proyectados trimestralmente  * 100
</t>
  </si>
  <si>
    <t>Calendario Tributario</t>
  </si>
  <si>
    <t>Porcentual</t>
  </si>
  <si>
    <t>*Subgerente Administrativo y Financiero. 
*Tesorero General</t>
  </si>
  <si>
    <t>Subgerencia Administrativa y Financiera
Tesorería</t>
  </si>
  <si>
    <t xml:space="preserve">Registrar en el sistema los recaudos provenientes de las diferentes líneas de crédito con que cuenta la entidad, para garantizar el proceso de desgloce y conciliaciones </t>
  </si>
  <si>
    <t>Registro de ingresos mensual</t>
  </si>
  <si>
    <t xml:space="preserve">Suministrar información de recaudo para la toma de determinaciones administrativas y financieras. </t>
  </si>
  <si>
    <t>Valor recaudo mensual / presupuesto aprobado * 100</t>
  </si>
  <si>
    <t>PAC</t>
  </si>
  <si>
    <t xml:space="preserve">Registrar en el sistema los egresos correspondiente a las obligaciones contraidas por la entidad. </t>
  </si>
  <si>
    <t>Registro de egresos mensual</t>
  </si>
  <si>
    <t xml:space="preserve">Suministrar información de egresos para la toma de determinaciones administrativas y financieras. </t>
  </si>
  <si>
    <t>Valor egresos mensual / presupuesto aprobado * 100</t>
  </si>
  <si>
    <t>APOYO
Gestión Jurídica</t>
  </si>
  <si>
    <t>Jefe de la Oficina Jurídica</t>
  </si>
  <si>
    <t>Oficina Asesora Jurídica</t>
  </si>
  <si>
    <t>Defensa jurídica</t>
  </si>
  <si>
    <t>APOYO
Gestión Juridica</t>
  </si>
  <si>
    <t>Manual de la política del daño antijuridico y sus lineamientos</t>
  </si>
  <si>
    <t>La Corporación Social de Cundinamarca mejora el Sistema de Gestión de Calidad y asegura su integración con el Modelo Integrado de Planeación y
Gestión</t>
  </si>
  <si>
    <t>PROCESO DE EVALUACIÓN
Gestión del Mejoramiento</t>
  </si>
  <si>
    <t>Jefe de oficina de control interno</t>
  </si>
  <si>
    <t>Oficina de Control Interno</t>
  </si>
  <si>
    <t xml:space="preserve">Planear y ejecutar el Plan anual de auditorías interna Integral de acuerdo al cronograma </t>
  </si>
  <si>
    <t xml:space="preserve">Cumplir con la planeación propuesta en el Plan anual de auditorías interna Integral </t>
  </si>
  <si>
    <t>eficacia</t>
  </si>
  <si>
    <t>Auditorías realizadas en el año 2024</t>
  </si>
  <si>
    <t xml:space="preserve"> - </t>
  </si>
  <si>
    <t>Control interno</t>
  </si>
  <si>
    <t>Realizar los seguimientos a los planes de mejoramiento aprobados por la Contraloría Departamental</t>
  </si>
  <si>
    <t>Planes de Mejoramiento de la Corporación Social de Cundinamarca</t>
  </si>
  <si>
    <t>Realizar los seguimientos a los Planes de Mejoramiento dando cumplimiento a los términos de la Resolución 0278 de 2021 de la Contraloría Departamental</t>
  </si>
  <si>
    <t xml:space="preserve">Semestral </t>
  </si>
  <si>
    <t>Verificar el cumplimiento de la publicación y/o la presentación de los informes de ley  por parte de la OCI</t>
  </si>
  <si>
    <t>eficiencia</t>
  </si>
  <si>
    <t>Informes de ley publicados en la pagina web</t>
  </si>
  <si>
    <t>Publicación de los informes en la página web</t>
  </si>
  <si>
    <t xml:space="preserve">trimestral </t>
  </si>
  <si>
    <t>Seguimiento a los resultados de la Auditoría interna de la CSC</t>
  </si>
  <si>
    <t>Realizar  seguimiento a las acciones de mejora y correctivas de la entidad</t>
  </si>
  <si>
    <t>Resultados Auditoria año anterior</t>
  </si>
  <si>
    <t xml:space="preserve">Cumplir con la normatividad vigente  </t>
  </si>
  <si>
    <t>Realizar Campañas de Autocontrol que armonicen la 7ma dimensión de MIPG</t>
  </si>
  <si>
    <t xml:space="preserve">Sensibilizar a la CSC con Campañas de Autocontrol (mínimo 4). </t>
  </si>
  <si>
    <t>Hacer seguimientos a los procesos contractuales subidos en la plataforma SIA OBSERVA</t>
  </si>
  <si>
    <t xml:space="preserve">Números de contratos elaborados y ejecutados hasta la fecha </t>
  </si>
  <si>
    <t>Disminuir el porcentaje de cartera vencida en dos puntos(2), de acuerdo con el resultado del indicador a 31 diciembre del año inmediatamente anterior</t>
  </si>
  <si>
    <t>Plan de auditoría aprobado 2025</t>
  </si>
  <si>
    <t xml:space="preserve">(Número de Auditorías realizadas / Número de Auditorías programadas)*100 </t>
  </si>
  <si>
    <t>Porcentaje de cumplimiento del Plan Anual de Auditorías</t>
  </si>
  <si>
    <t>Anual (con seguimiento trimestral)</t>
  </si>
  <si>
    <t>(Número de avances al plan de mejoramiento realizados dentro del término  / Número de avances al Plan de mejoramiento remitidos dentro del término)* 100.</t>
  </si>
  <si>
    <t>Plan de mejoramiento entregado en 2023 y 2024</t>
  </si>
  <si>
    <t>Auditoría Integral de la Contraloría de Cundinamarca 2024</t>
  </si>
  <si>
    <t>Presentar los informes de ley por parte de la OCI,  cumpliendo con la normatividad aplicable Decreto 648 del 19 de abril  de 2017</t>
  </si>
  <si>
    <t>Cumplimiento en la publicación de informes de ley Oficina de Control Interno (OCI)</t>
  </si>
  <si>
    <t xml:space="preserve">(Informes publicados en la página web de la entidad / Total informes programados) * 100  </t>
  </si>
  <si>
    <t xml:space="preserve">Porcentaje de seguimiento a observaciones  y No conformidades de Auditorias Internas </t>
  </si>
  <si>
    <t xml:space="preserve">(Número de seguimientos realizados / Número total de no conformidades y observaciones) * 100 </t>
  </si>
  <si>
    <t xml:space="preserve">Ejecución de campañas de Autocontrol </t>
  </si>
  <si>
    <t>(Número de Campañas de Autocontrol realizadas/ Número de Campañas de Autocontrol programadas)*100</t>
  </si>
  <si>
    <t>el numero de campañas realizadas en el 2024</t>
  </si>
  <si>
    <t>Realizar seguimiento a la plataforma SIA Observa y publicación en la página web de la CSC</t>
  </si>
  <si>
    <t>Monitoreo y publicación de contratos en SIA OBSERVA y página web CSC</t>
  </si>
  <si>
    <t xml:space="preserve">(Número de seguimientos  los contratos reportados / Número total de contratos reportados) * 100 </t>
  </si>
  <si>
    <t>seguimientos año 2024</t>
  </si>
  <si>
    <t xml:space="preserve">Seguimiento del daño antijurídico  en el Comité de Conciliación y Defensa Judicial </t>
  </si>
  <si>
    <t>&gt; 86</t>
  </si>
  <si>
    <t>Realizar seguimiento al cronograma de actividades de los 12 planes del Decreto 612 de 2018</t>
  </si>
  <si>
    <t>Realizar el seguimiento al avance de actividades propuestas en cada uno de los planes</t>
  </si>
  <si>
    <t>Porcentaje de cumplimiento en la evaluación FURAG respecto a la meta establecida</t>
  </si>
  <si>
    <t>(Puntaje obtenido en la evaluación del FURAG / Puntaje máximo posible) x 100.</t>
  </si>
  <si>
    <t>Porcentaje de seguimiento efectivo a los 12 planes del Decreto 612 de 2018</t>
  </si>
  <si>
    <t>Número de informes de seguimiento realizados y aprobados a los Planes del Decreto 612 de 2018 / Total de informes de seguimiento programados</t>
  </si>
  <si>
    <t>Porcentaje de atención oportuna a PQRSDF</t>
  </si>
  <si>
    <t xml:space="preserve">(Número de respuestas "Muy satisfecho" + "Satisfecho / Total de encuestas aplicadas) x 100
</t>
  </si>
  <si>
    <t xml:space="preserve">(Número de actividades ejecutadas  / Número de actividades programadas)*100 </t>
  </si>
  <si>
    <t>Seguimiento al Plan de Comunicaciones y  Marketing de la CSC</t>
  </si>
  <si>
    <t>Cumplimiento del cronograma de actividades del Plan de Comunicaciones y Marketing</t>
  </si>
  <si>
    <t>Seguir y evaluar el cumplimiento del Plan de Comunicaciones y Marketing de la CSC</t>
  </si>
  <si>
    <t xml:space="preserve">Porcentaje de afiliados beneficiados con programas de bienestar. (capacitaciones, recreación, promoción) </t>
  </si>
  <si>
    <t>(Número de afiliados beneficiados/
Total de afiliados activos) *100</t>
  </si>
  <si>
    <t>Porcentaje de cobertura en la promoción del portafolio de servicios de la entidad en los municipios del Departamento</t>
  </si>
  <si>
    <t>Medir el  porcentaje de municipios Cundinamarqueses visitados para promoción del portafolio</t>
  </si>
  <si>
    <t xml:space="preserve"> ((Número de municipios visitados efectivamente / Número de municipios programados para el periodo) x 100)</t>
  </si>
  <si>
    <t>Medir el número de entregas de subsidios educativos a los afiliados que ya cuentan con el beneficio de este programa y cumplen requisitos</t>
  </si>
  <si>
    <t xml:space="preserve">(Número de subsidios educativos entregados /
Número de subsidios educativos activos)*100 </t>
  </si>
  <si>
    <t>(Créditos hipotecarios desembolsados  en máximo 60 días hábiles / Total créditos hipotecarios desembolsados) * 100 .</t>
  </si>
  <si>
    <t xml:space="preserve">Aplicar el total del valor recaudado de las diferentes pagadurías y recibos por ventanilla. </t>
  </si>
  <si>
    <t>Índice de Aplicación del Valor Recaudado por Pagadurías y ventanilla</t>
  </si>
  <si>
    <t>Garantizar el  valor aplicado total del valor recaudado de las diferentes pagadurías y ventanilla.</t>
  </si>
  <si>
    <t>(Valor aplicado en el periodo / Valor recaudado en el periodo pagadurias y ventanilla)*100</t>
  </si>
  <si>
    <t xml:space="preserve">
(No. de actividades ejecutadas / No. de actividades programadas) x 100</t>
  </si>
  <si>
    <t>Plan de bienestar e incetivos año anterior</t>
  </si>
  <si>
    <t>Potencializar el talento humano con el fin de fortalecer sus competencias
y Generar acciones de mejora continua para optimizar los procesos</t>
  </si>
  <si>
    <t>Plan de Seguridad y Salud en el Trabajo año anterior</t>
  </si>
  <si>
    <t>Reporte oportuno de incapacidades ante la EPS</t>
  </si>
  <si>
    <t>Porcentaje de seguimiento a evaluaciones de desempeño</t>
  </si>
  <si>
    <t>Realizar las evaluaciones de desempeño y de rendimiento laboral de los funcionarios de la CSC</t>
  </si>
  <si>
    <t xml:space="preserve">No. de seguimientos efectivos realizados*100 / número de seguimientos requeridos
</t>
  </si>
  <si>
    <t xml:space="preserve">Cumplimiento en los Acuerdos de Gestión </t>
  </si>
  <si>
    <t>(Número seguimientos realizados a los acuerdos de gestión / Número total de acuerdos suscritos) x 100.</t>
  </si>
  <si>
    <t>(Número de mantenimientos preventivos ejecutados en el plazo programado / Total de mantenimientos preventivos programados) x 100.</t>
  </si>
  <si>
    <t>(Actividades ejecutadas según cronogramas de actividades en los planes publicados  / total de  actividades programadas en los Planes )*100</t>
  </si>
  <si>
    <t xml:space="preserve">(Actividades ejecutadas según cronograma del PINAR / Total de Actividades cronograma del PINAR)* 100 </t>
  </si>
  <si>
    <t>Porcentaje de ejecución del PINAR</t>
  </si>
  <si>
    <t>Realizar seguimiento a las actividades propuestas en el cronograma del PINAR</t>
  </si>
  <si>
    <t>≥ 95%.</t>
  </si>
  <si>
    <t>Realizar nuevas vinculaciones durante la vigencia</t>
  </si>
  <si>
    <t>Porcentaje de gestión de consignaciones sin identificar</t>
  </si>
  <si>
    <t>Medir la efectividad en la identificación y gestión de consignaciones recibidas sin información clara de su origen.</t>
  </si>
  <si>
    <t>TES 105</t>
  </si>
  <si>
    <t xml:space="preserve">Realizar la gestión con entidades bancarias y afiliados para identificar y regularizar las consignaciones sin identificar registradas en el reporte TES 105, asegurando su correcta asignación </t>
  </si>
  <si>
    <t>(Valor Recaudado Trimestre  / Valor Proyectado en el trimestre )* 100</t>
  </si>
  <si>
    <t>(Valor Ejecutado gastos Trimestre  / Valor Proyectado gastos en el trimestre) * 100</t>
  </si>
  <si>
    <t xml:space="preserve">Ejecución mensual de conciliaciones bancarias de todas las cuentas de la entidad con los bancos correspondientes que se ajusten a los procedimientos establecidos  institucionalmente. </t>
  </si>
  <si>
    <t>Elaboración de Conciliaciones Bancarias</t>
  </si>
  <si>
    <t>Asegurar que todas las cuentas bancarias de la entidad sean conciliadas mensualmente dentro de los plazos establecidos, reflejando la razonabilidad de los movimientos bancarios en los libros contables</t>
  </si>
  <si>
    <t xml:space="preserve">(Número de cuentas bancarias conciliadas en el mes / Total de cuentas bancarias por conciliar) * 100
​
 </t>
  </si>
  <si>
    <t>(Número de consignaciones sin identificar gestionadas en el periodo/total de consignaciones sin identificar recibidas en el periodo)*100</t>
  </si>
  <si>
    <t>Elaborar el  Plan Anual de mantenimiento de la infraestructura física  de la entidad y realizar el seguimiento de acuerdo al cronograma de actividades planteado</t>
  </si>
  <si>
    <t xml:space="preserve">Seguimiento al Plan Anual de mantenimiento de la infraestructura física </t>
  </si>
  <si>
    <t>Hacer seguimiento a la ejecución del Plan Anual de mantenimiento de la infraetructura fisica  de la Entidad de acuerdo al cronograma de actividades propuesto</t>
  </si>
  <si>
    <t>Subgerente Administrativa y Financiera
Técnico operativo</t>
  </si>
  <si>
    <t>Garantizar el cumplimiento del mantenimiento preventivo de los vehículos institucionales. Mínimo dos mantenimientos al año.</t>
  </si>
  <si>
    <t xml:space="preserve">Inspección preoperativa del parque automotor de la entidad. </t>
  </si>
  <si>
    <t>(No. de mantenimientos realizados /No.de mantenimientos programados)*100</t>
  </si>
  <si>
    <t>(No de  inventarios Individuales actualizados/ No de funcionarios entidad)*100</t>
  </si>
  <si>
    <t>(No de reportes generados/ No de reportes programados)*100</t>
  </si>
  <si>
    <t>Actualizar el Plan institucional de Gestión Ambiental,  publicarlo en la página web de la Entidad y realizar seguimiento a las actividades</t>
  </si>
  <si>
    <t>Seguimiento al Plan Institucional de Gestión Ambiental - PIGA-</t>
  </si>
  <si>
    <t>Asegurar la implementación y ejecución del Plan Institucional de Gestión Ambiental.</t>
  </si>
  <si>
    <t>(Número de actividades realizadas dentro del tiempo/ Número total de actividades  programadas en el  cronograma)*100</t>
  </si>
  <si>
    <t>Publicar a los entes de control del SIA observa la contratación mensual de la entidad</t>
  </si>
  <si>
    <t>Rendición de cuenta a Contraloría SIA observa</t>
  </si>
  <si>
    <t>Asegurar que la rendición de cuentas se realice dentro del plazo establecido. Tercer día hábil de cada mes</t>
  </si>
  <si>
    <t>Seguimiento a la gestión en la ejecución del  Plan Anual de Adquisiciones</t>
  </si>
  <si>
    <t>Evaluar el grado de cumplimiento del PAA en términos de adjudicación de contratos dentro de los plazos y condiciones establecidas.</t>
  </si>
  <si>
    <t>(Número de contratos adjudicados según PAA / Total de contratos programados en el PAA) * 100</t>
  </si>
  <si>
    <t>Plan anual de adquisiciones del año anterior</t>
  </si>
  <si>
    <t>≥ 95%</t>
  </si>
  <si>
    <t>Medir el cumplimiento de la política de prevención del daño antijurídico.</t>
  </si>
  <si>
    <t>(Número de informes aprobados en comité / No de informes programados)*100</t>
  </si>
  <si>
    <t>Mejora el Sistema de Gestión de
Calidad y asegura si integración con el Modelo Integrado de Planeación y
Gestión</t>
  </si>
  <si>
    <t>Entregar oportunamente los elementos de papelería y consumo indicados en las solicitudes recibidas.</t>
  </si>
  <si>
    <t xml:space="preserve">Porcentaje de cumplimiento en la entrega de solicitudes recibidas.
</t>
  </si>
  <si>
    <t>Satisfacer a conformidad las necesidades de elementos de consumo y papelería en los diferentes procesos de la Entidad.</t>
  </si>
  <si>
    <t>(No. de solicitudes entregadas completas/No. de solicitudes recibidas)*100</t>
  </si>
  <si>
    <t>PROCESO</t>
  </si>
  <si>
    <t>CUMPLIMIENTO</t>
  </si>
  <si>
    <t>MIPG</t>
  </si>
  <si>
    <t>Mejora el Sistema de Gestión de
Calidad y asegura su integración con el Modelo Integrado de Planeación y
Gestión</t>
  </si>
  <si>
    <t xml:space="preserve">Subgerente de Servicios Corporativos
 Profesional de crédito
</t>
  </si>
  <si>
    <t>Subgerente de Servicios Corporativos
 Profesional de crédito</t>
  </si>
  <si>
    <t>Subgerente de Servicios Corporativos
Profesional de crédito</t>
  </si>
  <si>
    <t>Director Técnico de Cartera 
Profesional de Cartera
Jefe Oficina Gestión Jurídica</t>
  </si>
  <si>
    <t>Director Técnico de Cartera 
Profesional de Cartera</t>
  </si>
  <si>
    <t>Versión: 03</t>
  </si>
  <si>
    <t>Fecha: Mayo 30 de 2023</t>
  </si>
  <si>
    <t>La Corporación Social de Cundinamarca mejora el Sistema de Gestión de Calidad y asegura si integración con el Modelo Integrado de Planeación y
Gestión del MECI</t>
  </si>
  <si>
    <t>CUMPLIMIENTO ACUMULADO PLAN DE ACCION</t>
  </si>
  <si>
    <t>(Saldo de cartera en estado persuasivo/ Saldo total de cartera)*100.
(excluir cuentas de orden)</t>
  </si>
  <si>
    <t>(Saldo de cartera en estado pre-jurídico/Saldo total de cartera)*100.
(excluir cuentas de orden)</t>
  </si>
  <si>
    <t>Resultados FURAG 2025</t>
  </si>
  <si>
    <t>Año 2025</t>
  </si>
  <si>
    <t>&lt; 30%</t>
  </si>
  <si>
    <t xml:space="preserve">(Créditos no hipotecarios desembolsados  en máximo 30 días hábiles  / Total créditos no hipotecarios desembolsados)* 100
</t>
  </si>
  <si>
    <t>Seguimiento y acompañamiento a las evaluaciones de desempeño y de rendimiento laboral de funcionarios</t>
  </si>
  <si>
    <t>Seguimiento y publicación del plan de acción de la Corporación Social de Cundinamarca en los tiempos establecidos</t>
  </si>
  <si>
    <t>Realizar el seguimiento, evaluación y publicación del Plan de acción CSC, durante los tiempos establecidos.</t>
  </si>
  <si>
    <t>Actualización efectiva en el sistema de trámites (SUIT)</t>
  </si>
  <si>
    <t>Seguimientos efectivos realizados a los trámites de la CSC en el SUIT/Seguimientos programados por la Función pública a los trámites de la CSC</t>
  </si>
  <si>
    <t>(Número de vinculaciones efectivas en el Periodo /Total de vinculaciones programadas) * 100</t>
  </si>
  <si>
    <t>Asigna los recursos necesarios y establece lineamientos para cumplir con los requisitos aplicables en el otorgamiento de créditos y planes de bienestar social a nivel departamental</t>
  </si>
  <si>
    <t xml:space="preserve">Ejecutar el presupuesto asignado para colocación de créditos </t>
  </si>
  <si>
    <t xml:space="preserve">Porcentaje de ejecución de presupuesto asignado para colocación de créditos </t>
  </si>
  <si>
    <t xml:space="preserve">Ejecutar el mayor porcentaje del presupuesto asignado para la colocación de créditos </t>
  </si>
  <si>
    <t>( valor de presupuesto ejecutado en créditos / valor del presupuesto asignado en créditos)*100</t>
  </si>
  <si>
    <t>Nuevo Indicador</t>
  </si>
  <si>
    <t>Colocación de créditos</t>
  </si>
  <si>
    <t xml:space="preserve">Avance en la colocación de créditos. </t>
  </si>
  <si>
    <t>Estableciendo lineamientos y cumpliendo con los requisitos aplicables en el otorgamiento de créditos y planes de bienestar social a nivel departamental</t>
  </si>
  <si>
    <t xml:space="preserve">Fomentar la satisfacción y felicidad de los afiliados a través de un servicio eficiente y de calidad. </t>
  </si>
  <si>
    <t>&gt;97%</t>
  </si>
  <si>
    <t>≥ 96%.</t>
  </si>
  <si>
    <t>Garantiza colaboradores y proveedores idóneos</t>
  </si>
  <si>
    <t>(Número de cuentas rendidas en el plazo establecido(3 primeros días hábiles de cada mes)/Total de contratos adjudicados en el periodo)*100</t>
  </si>
  <si>
    <t>Realizar la gestión contractual acorde con la programación establecida en el Plan Anual de Adquisiciones</t>
  </si>
  <si>
    <t xml:space="preserve">* Oficina asesora de contratación </t>
  </si>
  <si>
    <t>* Oficina asesora de contratación</t>
  </si>
  <si>
    <t>(Número de proveedores reevaluados en el periodo/Número de contratos terminados en el periodo)*100</t>
  </si>
  <si>
    <t>1. Gestión con valores para resultados.     
2. Información y comunicación</t>
  </si>
  <si>
    <t>1. Gobierno digítal y seguridad digítal.  
2. Transparencia y acceso a la información</t>
  </si>
  <si>
    <t>(Número de casos de mantenimientos correctivos solucionados y/o soporte a usuarios / Número de casos de mantenimiento y solicitudes de usuarios presentados) *100</t>
  </si>
  <si>
    <t>La Corporación Social de Cundinamarca mejora el Sistema de Gestión de Calidad, asegurando su integración con el Modelo Integrado de Planeación y Gestión MIPG</t>
  </si>
  <si>
    <t xml:space="preserve">Adquirir los equipos tecnológicos y/o infraestructura tecnológica requeridos por la entidad. </t>
  </si>
  <si>
    <t>(Cantidad de equipos e infraestructura tecnológica adquirida / Cantidad de equipos  e infraestructura requerida)*100</t>
  </si>
  <si>
    <t>Publicación y seguimiento de planes institucionales de gestión de la información.</t>
  </si>
  <si>
    <t xml:space="preserve">Jefe de la Oficina de Contratación
Director Unidad de Contabilidad y Presupuesto
</t>
  </si>
  <si>
    <t>* Oficina asesora de contratación
* Oficina de Contabilidad y Presupuesto</t>
  </si>
  <si>
    <t xml:space="preserve">Garantiza colaboradores y proveedores idóneos </t>
  </si>
  <si>
    <t>(Número de actividades realizadas dentro del plazo establecido / Número total de actividades  programadas de acuerdo al cronograma) *100</t>
  </si>
  <si>
    <t>Reducir los impactos ambientales y contribuir a la conservación del medio ambiente</t>
  </si>
  <si>
    <t xml:space="preserve">Promoviendo el cuidado del medio ambiente y fortaleciendo su compromiso con la sostenibilidad. </t>
  </si>
  <si>
    <t>Ejecución del Plan Institucional de Capacitación.</t>
  </si>
  <si>
    <t xml:space="preserve">Ejecución del Plan de Bienestar e Incentivos de la CSC </t>
  </si>
  <si>
    <t>Articula su gestión de calidad con los requisitos del Sistema de Seguridad y Salud en el trabajo</t>
  </si>
  <si>
    <t>Elaborar y ejecutar del Programa de Seguridad y Salud en el Trabajo en CSC de conformidad con las disposiciones normativas vigentes.</t>
  </si>
  <si>
    <t xml:space="preserve"> Cumplimiento del Programa de SG-SST</t>
  </si>
  <si>
    <t>Asigna los recursos necesarios</t>
  </si>
  <si>
    <t xml:space="preserve">Ejecución presupuesto de Ingresos </t>
  </si>
  <si>
    <t xml:space="preserve">Generar y reportar la Información financiera y presupuestal a los entes de control y de fiscalización de manera oportuna (trimestral, semestral y anual) a través de las plataformas oficiales. </t>
  </si>
  <si>
    <t>Reportar oportunamente Informes tanto contables como presupuestales de acuerdo a los calendarios establecidos</t>
  </si>
  <si>
    <t>Presentación de Informes Contables y Presupuestales oportunamente</t>
  </si>
  <si>
    <t>Resultados 2025</t>
  </si>
  <si>
    <t>Indice de recuperación de cartera en etapa juridica</t>
  </si>
  <si>
    <t>Medir la eficacia y eficiencia de la firma de representación judicial y/o abogados contratistas en la recuperación de  cartera morosa en la etapa juridica, evaluando cuánto dinero se logra obtener de los creditos entregados versus el total de los asignados.</t>
  </si>
  <si>
    <t>Número de  obligaciones  entregadas  a los abogados contratistas y/o firma de representacion judicial para el cobro juridico</t>
  </si>
  <si>
    <t>Fortalecer los argumentos legales y la solidez del litigio</t>
  </si>
  <si>
    <t xml:space="preserve"> Indicador de Eficacia o Efectividad en la Gestión Juridica</t>
  </si>
  <si>
    <t>Medir la efectividad en la calidad  del litigio  realizado en la gestión de procesos jurídicos.</t>
  </si>
  <si>
    <t>Revisar los procesos en estado jurídico y acuerdos de pago en aras de obtener el recaudo de los diferentes deudores</t>
  </si>
  <si>
    <t>1% de acuerdo al total de la cartera en estado Jurídico</t>
  </si>
  <si>
    <t xml:space="preserve">Realizar  seguimientos mensuales a la implementación de la política de prevención del daño antijuridico </t>
  </si>
  <si>
    <t xml:space="preserve">
(Número de actuacionesy/o requerimientos efectuados/Número de procesos activos)*100</t>
  </si>
  <si>
    <t>realizar actuaciones y/requerimientos al 20% de los procesos activos</t>
  </si>
  <si>
    <t>(Monto recuperado por la firma de representacion Judicial y/o abogados contratistas en etapa juridica 
-----------
Monto total de las obligaciones  entregadas para la representacion Judicial a la firma y/o abogados contratistas)*100</t>
  </si>
  <si>
    <r>
      <t xml:space="preserve">Código: </t>
    </r>
    <r>
      <rPr>
        <b/>
        <sz val="24"/>
        <rFont val="Arial"/>
        <family val="2"/>
      </rPr>
      <t>CSC-DE-FR-06</t>
    </r>
  </si>
  <si>
    <r>
      <rPr>
        <sz val="11"/>
        <rFont val="Calibri"/>
        <family val="2"/>
      </rPr>
      <t xml:space="preserve">≤ </t>
    </r>
    <r>
      <rPr>
        <sz val="11"/>
        <rFont val="Arial"/>
        <family val="2"/>
      </rPr>
      <t>2%</t>
    </r>
  </si>
  <si>
    <t>RAZÓN DEL CAMBIO</t>
  </si>
  <si>
    <t>RESPONSABLE DEL CAMBIO</t>
  </si>
  <si>
    <t>FECHA DE APROBACIÓN DEL CAMBIO</t>
  </si>
  <si>
    <t>VERSIÓN</t>
  </si>
  <si>
    <t>Creación del formato</t>
  </si>
  <si>
    <t>Johanna Acosta</t>
  </si>
  <si>
    <t>Actualización del formato</t>
  </si>
  <si>
    <t>Maria Milvia Santos P.</t>
  </si>
  <si>
    <t>Actualizacion del logo institucional y encabezado conteniendo vigente desde (no se realiza cambio de version)</t>
  </si>
  <si>
    <t>Ángela Rojas</t>
  </si>
  <si>
    <t xml:space="preserve">Actualización del formato en el encabezado, se reestructuran y se cambian algunas columnas, asi como tambien se incluyen porcentajes de cumplimiento, periodos de seguimiento, dimensiones y politicas de MIPG </t>
  </si>
  <si>
    <t>Margarita Galeano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</si>
</sst>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&quot;$ &quot;* #,##0.00_-;&quot;-$ &quot;* #,##0.00_-;_-&quot;$ &quot;* \-??_-;_-@_-"/>
    <numFmt numFmtId="166" formatCode="0\ %"/>
    <numFmt numFmtId="167" formatCode="0.00\ %"/>
    <numFmt numFmtId="168" formatCode="0.0%"/>
    <numFmt numFmtId="170" formatCode="0.0\ %"/>
    <numFmt numFmtId="171" formatCode="0.0"/>
  </numFmts>
  <fonts count="33" x14ac:knownFonts="1">
    <font>
      <sz val="11"/>
      <color theme="1"/>
      <name val="Calibri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26"/>
      <name val="Arial"/>
      <family val="2"/>
      <charset val="1"/>
    </font>
    <font>
      <b/>
      <sz val="18"/>
      <name val="Arial"/>
      <family val="2"/>
      <charset val="1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</font>
    <font>
      <b/>
      <sz val="14"/>
      <name val="Arial"/>
      <family val="2"/>
      <charset val="1"/>
    </font>
    <font>
      <sz val="12"/>
      <color theme="1"/>
      <name val="Arial"/>
      <family val="2"/>
    </font>
    <font>
      <sz val="12"/>
      <color rgb="FFFF0000"/>
      <name val="Calibri"/>
      <family val="2"/>
      <charset val="1"/>
    </font>
    <font>
      <b/>
      <sz val="14"/>
      <color rgb="FFFF0000"/>
      <name val="Calibri"/>
      <family val="2"/>
      <charset val="1"/>
    </font>
    <font>
      <sz val="10"/>
      <color theme="1" tint="4.9989318521683403E-2"/>
      <name val="Arial"/>
      <family val="2"/>
    </font>
    <font>
      <sz val="11"/>
      <name val="Arial"/>
      <family val="2"/>
    </font>
    <font>
      <b/>
      <sz val="24"/>
      <name val="Arial"/>
      <family val="2"/>
      <charset val="1"/>
    </font>
    <font>
      <b/>
      <sz val="2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Calibri"/>
      <family val="2"/>
    </font>
    <font>
      <sz val="26"/>
      <name val="Arial"/>
      <family val="2"/>
      <charset val="1"/>
    </font>
    <font>
      <sz val="14"/>
      <color rgb="FFFF0000"/>
      <name val="Calibri"/>
      <family val="2"/>
      <charset val="1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7">
    <xf numFmtId="0" fontId="0" fillId="0" borderId="0"/>
    <xf numFmtId="166" fontId="16" fillId="0" borderId="0" applyBorder="0" applyProtection="0"/>
    <xf numFmtId="164" fontId="2" fillId="0" borderId="0"/>
    <xf numFmtId="165" fontId="16" fillId="0" borderId="0" applyBorder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6" fillId="0" borderId="0" applyBorder="0" applyProtection="0"/>
    <xf numFmtId="166" fontId="16" fillId="0" borderId="0" applyBorder="0" applyProtection="0"/>
    <xf numFmtId="0" fontId="16" fillId="0" borderId="0"/>
    <xf numFmtId="0" fontId="1" fillId="0" borderId="0"/>
  </cellStyleXfs>
  <cellXfs count="160">
    <xf numFmtId="0" fontId="0" fillId="0" borderId="0" xfId="0"/>
    <xf numFmtId="0" fontId="3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4" fontId="4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textRotation="90" wrapText="1"/>
    </xf>
    <xf numFmtId="167" fontId="13" fillId="3" borderId="6" xfId="0" applyNumberFormat="1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vertical="center" wrapText="1"/>
    </xf>
    <xf numFmtId="167" fontId="6" fillId="2" borderId="0" xfId="0" applyNumberFormat="1" applyFont="1" applyFill="1"/>
    <xf numFmtId="0" fontId="17" fillId="0" borderId="0" xfId="0" applyFont="1"/>
    <xf numFmtId="0" fontId="7" fillId="0" borderId="0" xfId="0" applyFont="1"/>
    <xf numFmtId="4" fontId="4" fillId="0" borderId="0" xfId="0" applyNumberFormat="1" applyFont="1" applyAlignment="1">
      <alignment vertical="center"/>
    </xf>
    <xf numFmtId="0" fontId="5" fillId="0" borderId="0" xfId="0" applyFont="1"/>
    <xf numFmtId="0" fontId="13" fillId="3" borderId="1" xfId="0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/>
    </xf>
    <xf numFmtId="0" fontId="10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/>
    </xf>
    <xf numFmtId="4" fontId="4" fillId="0" borderId="14" xfId="0" applyNumberFormat="1" applyFont="1" applyBorder="1" applyAlignment="1">
      <alignment vertical="center"/>
    </xf>
    <xf numFmtId="0" fontId="10" fillId="2" borderId="19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167" fontId="21" fillId="2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7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4" fontId="4" fillId="0" borderId="5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67" fontId="22" fillId="0" borderId="1" xfId="0" applyNumberFormat="1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 wrapText="1"/>
    </xf>
    <xf numFmtId="4" fontId="24" fillId="2" borderId="11" xfId="0" applyNumberFormat="1" applyFont="1" applyFill="1" applyBorder="1" applyAlignment="1">
      <alignment horizontal="right"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2" borderId="8" xfId="0" applyNumberFormat="1" applyFont="1" applyFill="1" applyBorder="1" applyAlignment="1">
      <alignment horizontal="right" vertical="center"/>
    </xf>
    <xf numFmtId="4" fontId="24" fillId="2" borderId="11" xfId="0" applyNumberFormat="1" applyFont="1" applyFill="1" applyBorder="1" applyAlignment="1">
      <alignment horizontal="right" vertical="center"/>
    </xf>
    <xf numFmtId="4" fontId="24" fillId="2" borderId="2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1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 wrapText="1"/>
    </xf>
    <xf numFmtId="171" fontId="7" fillId="0" borderId="1" xfId="1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6" fontId="23" fillId="0" borderId="1" xfId="1" applyFont="1" applyFill="1" applyBorder="1" applyAlignment="1" applyProtection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167" fontId="23" fillId="0" borderId="4" xfId="0" applyNumberFormat="1" applyFont="1" applyFill="1" applyBorder="1" applyAlignment="1">
      <alignment horizontal="center" vertical="center" wrapText="1"/>
    </xf>
    <xf numFmtId="1" fontId="23" fillId="0" borderId="1" xfId="1" applyNumberFormat="1" applyFont="1" applyFill="1" applyBorder="1" applyAlignment="1" applyProtection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167" fontId="26" fillId="0" borderId="1" xfId="0" applyNumberFormat="1" applyFont="1" applyFill="1" applyBorder="1" applyAlignment="1">
      <alignment horizontal="center" vertical="center"/>
    </xf>
    <xf numFmtId="166" fontId="16" fillId="0" borderId="1" xfId="1" applyFont="1" applyFill="1" applyBorder="1" applyAlignment="1">
      <alignment horizontal="center" vertical="center"/>
    </xf>
    <xf numFmtId="9" fontId="23" fillId="0" borderId="1" xfId="0" applyNumberFormat="1" applyFont="1" applyFill="1" applyBorder="1" applyAlignment="1">
      <alignment horizontal="center" vertical="center"/>
    </xf>
    <xf numFmtId="2" fontId="23" fillId="0" borderId="1" xfId="1" applyNumberFormat="1" applyFont="1" applyFill="1" applyBorder="1" applyAlignment="1" applyProtection="1">
      <alignment horizontal="center" vertical="center"/>
    </xf>
    <xf numFmtId="167" fontId="23" fillId="0" borderId="1" xfId="1" applyNumberFormat="1" applyFont="1" applyFill="1" applyBorder="1" applyAlignment="1" applyProtection="1">
      <alignment horizontal="center" vertical="center"/>
    </xf>
    <xf numFmtId="168" fontId="23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10" fontId="23" fillId="0" borderId="1" xfId="1" applyNumberFormat="1" applyFont="1" applyFill="1" applyBorder="1" applyAlignment="1" applyProtection="1">
      <alignment horizontal="center" vertical="center"/>
    </xf>
    <xf numFmtId="168" fontId="23" fillId="0" borderId="0" xfId="0" applyNumberFormat="1" applyFont="1" applyFill="1" applyAlignment="1">
      <alignment horizontal="center" vertical="center"/>
    </xf>
    <xf numFmtId="170" fontId="23" fillId="0" borderId="1" xfId="1" applyNumberFormat="1" applyFont="1" applyFill="1" applyBorder="1" applyAlignment="1" applyProtection="1">
      <alignment horizontal="center" vertical="center"/>
    </xf>
    <xf numFmtId="168" fontId="23" fillId="0" borderId="1" xfId="0" applyNumberFormat="1" applyFont="1" applyFill="1" applyBorder="1" applyAlignment="1">
      <alignment horizontal="center" vertical="center"/>
    </xf>
    <xf numFmtId="9" fontId="23" fillId="0" borderId="1" xfId="1" applyNumberFormat="1" applyFont="1" applyFill="1" applyBorder="1" applyAlignment="1" applyProtection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 wrapText="1"/>
    </xf>
    <xf numFmtId="168" fontId="23" fillId="0" borderId="1" xfId="1" applyNumberFormat="1" applyFont="1" applyFill="1" applyBorder="1" applyAlignment="1" applyProtection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166" fontId="7" fillId="0" borderId="1" xfId="1" applyFont="1" applyFill="1" applyBorder="1" applyAlignment="1" applyProtection="1">
      <alignment horizontal="center" vertical="center"/>
    </xf>
    <xf numFmtId="3" fontId="7" fillId="0" borderId="1" xfId="1" applyNumberFormat="1" applyFont="1" applyFill="1" applyBorder="1" applyAlignment="1" applyProtection="1">
      <alignment horizontal="center" vertical="center"/>
    </xf>
    <xf numFmtId="9" fontId="23" fillId="0" borderId="1" xfId="0" applyNumberFormat="1" applyFont="1" applyFill="1" applyBorder="1" applyAlignment="1">
      <alignment horizontal="center" vertical="center" wrapText="1"/>
    </xf>
    <xf numFmtId="167" fontId="26" fillId="0" borderId="4" xfId="0" applyNumberFormat="1" applyFont="1" applyFill="1" applyBorder="1" applyAlignment="1">
      <alignment horizontal="center" vertical="center"/>
    </xf>
    <xf numFmtId="167" fontId="26" fillId="0" borderId="13" xfId="0" applyNumberFormat="1" applyFont="1" applyFill="1" applyBorder="1" applyAlignment="1">
      <alignment horizontal="center" vertical="center"/>
    </xf>
    <xf numFmtId="0" fontId="23" fillId="0" borderId="1" xfId="1" applyNumberFormat="1" applyFont="1" applyFill="1" applyBorder="1" applyAlignment="1" applyProtection="1">
      <alignment horizontal="center" vertical="center" wrapText="1"/>
    </xf>
    <xf numFmtId="167" fontId="26" fillId="0" borderId="6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/>
    </xf>
    <xf numFmtId="166" fontId="23" fillId="2" borderId="1" xfId="0" applyNumberFormat="1" applyFont="1" applyFill="1" applyBorder="1" applyAlignment="1">
      <alignment horizontal="center" vertical="center" wrapText="1"/>
    </xf>
    <xf numFmtId="1" fontId="23" fillId="2" borderId="1" xfId="1" applyNumberFormat="1" applyFont="1" applyFill="1" applyBorder="1" applyAlignment="1" applyProtection="1">
      <alignment horizontal="center" vertical="center"/>
    </xf>
    <xf numFmtId="167" fontId="23" fillId="2" borderId="1" xfId="0" applyNumberFormat="1" applyFont="1" applyFill="1" applyBorder="1" applyAlignment="1">
      <alignment horizontal="center" vertical="center" wrapText="1"/>
    </xf>
    <xf numFmtId="167" fontId="26" fillId="2" borderId="6" xfId="0" applyNumberFormat="1" applyFont="1" applyFill="1" applyBorder="1" applyAlignment="1">
      <alignment horizontal="center" vertical="center"/>
    </xf>
    <xf numFmtId="167" fontId="23" fillId="2" borderId="4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7" fontId="7" fillId="0" borderId="8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23" fillId="0" borderId="1" xfId="0" applyNumberFormat="1" applyFont="1" applyFill="1" applyBorder="1" applyAlignment="1">
      <alignment horizontal="center" vertical="center"/>
    </xf>
    <xf numFmtId="167" fontId="23" fillId="2" borderId="1" xfId="0" applyNumberFormat="1" applyFont="1" applyFill="1" applyBorder="1" applyAlignment="1">
      <alignment horizontal="center" vertical="center"/>
    </xf>
    <xf numFmtId="167" fontId="30" fillId="2" borderId="0" xfId="0" applyNumberFormat="1" applyFont="1" applyFill="1" applyAlignment="1">
      <alignment horizontal="center"/>
    </xf>
    <xf numFmtId="167" fontId="26" fillId="0" borderId="1" xfId="1" applyNumberFormat="1" applyFont="1" applyFill="1" applyBorder="1" applyAlignment="1" applyProtection="1">
      <alignment horizontal="center" vertical="center"/>
    </xf>
    <xf numFmtId="0" fontId="31" fillId="0" borderId="0" xfId="16" applyFont="1"/>
    <xf numFmtId="0" fontId="32" fillId="5" borderId="1" xfId="16" applyFont="1" applyFill="1" applyBorder="1" applyAlignment="1">
      <alignment horizontal="center" vertical="center" wrapText="1"/>
    </xf>
    <xf numFmtId="0" fontId="31" fillId="0" borderId="7" xfId="16" applyFont="1" applyBorder="1" applyAlignment="1">
      <alignment vertical="center"/>
    </xf>
    <xf numFmtId="0" fontId="31" fillId="0" borderId="20" xfId="16" applyFont="1" applyBorder="1" applyAlignment="1">
      <alignment horizontal="center"/>
    </xf>
    <xf numFmtId="14" fontId="31" fillId="0" borderId="7" xfId="16" applyNumberFormat="1" applyFont="1" applyBorder="1" applyAlignment="1">
      <alignment horizontal="center"/>
    </xf>
    <xf numFmtId="0" fontId="31" fillId="4" borderId="21" xfId="16" applyFont="1" applyFill="1" applyBorder="1" applyAlignment="1">
      <alignment horizontal="center" vertical="center" wrapText="1"/>
    </xf>
    <xf numFmtId="0" fontId="31" fillId="4" borderId="22" xfId="16" applyFont="1" applyFill="1" applyBorder="1" applyAlignment="1">
      <alignment horizontal="left" vertical="center" wrapText="1"/>
    </xf>
    <xf numFmtId="0" fontId="31" fillId="4" borderId="23" xfId="16" applyFont="1" applyFill="1" applyBorder="1" applyAlignment="1">
      <alignment horizontal="center" vertical="center" wrapText="1"/>
    </xf>
    <xf numFmtId="14" fontId="31" fillId="4" borderId="22" xfId="16" applyNumberFormat="1" applyFont="1" applyFill="1" applyBorder="1" applyAlignment="1">
      <alignment horizontal="center" vertical="center" wrapText="1"/>
    </xf>
    <xf numFmtId="0" fontId="19" fillId="0" borderId="24" xfId="16" applyFont="1" applyBorder="1" applyAlignment="1">
      <alignment horizontal="center" vertical="center" wrapText="1"/>
    </xf>
    <xf numFmtId="0" fontId="31" fillId="0" borderId="25" xfId="16" applyFont="1" applyBorder="1" applyAlignment="1">
      <alignment horizontal="justify" vertical="center" wrapText="1"/>
    </xf>
    <xf numFmtId="0" fontId="19" fillId="0" borderId="26" xfId="16" applyFont="1" applyBorder="1" applyAlignment="1">
      <alignment horizontal="center" vertical="center" wrapText="1"/>
    </xf>
    <xf numFmtId="14" fontId="19" fillId="0" borderId="25" xfId="16" applyNumberFormat="1" applyFont="1" applyBorder="1" applyAlignment="1">
      <alignment horizontal="center" vertical="center" wrapText="1"/>
    </xf>
    <xf numFmtId="0" fontId="19" fillId="0" borderId="27" xfId="16" applyFont="1" applyBorder="1" applyAlignment="1">
      <alignment horizontal="center" vertical="center" wrapText="1"/>
    </xf>
  </cellXfs>
  <cellStyles count="17">
    <cellStyle name="Millares 2 2" xfId="2" xr:uid="{00000000-0005-0000-0000-000006000000}"/>
    <cellStyle name="Moneda 2" xfId="3" xr:uid="{00000000-0005-0000-0000-000007000000}"/>
    <cellStyle name="Normal" xfId="0" builtinId="0"/>
    <cellStyle name="Normal 2" xfId="4" xr:uid="{00000000-0005-0000-0000-000008000000}"/>
    <cellStyle name="Normal 2 2" xfId="5" xr:uid="{00000000-0005-0000-0000-000009000000}"/>
    <cellStyle name="Normal 2 2 2" xfId="6" xr:uid="{00000000-0005-0000-0000-00000A000000}"/>
    <cellStyle name="Normal 2 2 3" xfId="7" xr:uid="{00000000-0005-0000-0000-00000B000000}"/>
    <cellStyle name="Normal 2 2 4" xfId="8" xr:uid="{00000000-0005-0000-0000-00000C000000}"/>
    <cellStyle name="Normal 2 3" xfId="9" xr:uid="{00000000-0005-0000-0000-00000D000000}"/>
    <cellStyle name="Normal 2 4" xfId="10" xr:uid="{00000000-0005-0000-0000-00000E000000}"/>
    <cellStyle name="Normal 3" xfId="11" xr:uid="{00000000-0005-0000-0000-00000F000000}"/>
    <cellStyle name="Normal 3 2" xfId="16" xr:uid="{CCF78082-F6B6-445F-BE55-2E01E96B21F5}"/>
    <cellStyle name="Normal 4" xfId="12" xr:uid="{00000000-0005-0000-0000-000010000000}"/>
    <cellStyle name="Normal 5" xfId="15" xr:uid="{906EF950-6531-41C4-9E20-5560521F7C03}"/>
    <cellStyle name="Porcentaje" xfId="1" builtinId="5"/>
    <cellStyle name="Porcentaje 2" xfId="13" xr:uid="{00000000-0005-0000-0000-000011000000}"/>
    <cellStyle name="Porcentaje 4" xfId="14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993366"/>
      <rgbColor rgb="FFFFF2CC"/>
      <rgbColor rgb="FFD9D9D9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9CCFF"/>
      <rgbColor rgb="FFFF99CC"/>
      <rgbColor rgb="FFCC99FF"/>
      <rgbColor rgb="FFF4B183"/>
      <rgbColor rgb="FF4472C4"/>
      <rgbColor rgb="FF33CCCC"/>
      <rgbColor rgb="FF92D050"/>
      <rgbColor rgb="FFFFCC00"/>
      <rgbColor rgb="FFFF9900"/>
      <rgbColor rgb="FFED7D31"/>
      <rgbColor rgb="FF666699"/>
      <rgbColor rgb="FFA6A6A6"/>
      <rgbColor rgb="FF002060"/>
      <rgbColor rgb="FF339966"/>
      <rgbColor rgb="FF003300"/>
      <rgbColor rgb="FF385623"/>
      <rgbColor rgb="FF993300"/>
      <rgbColor rgb="FF993366"/>
      <rgbColor rgb="FF333399"/>
      <rgbColor rgb="FF20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265095</xdr:rowOff>
    </xdr:from>
    <xdr:to>
      <xdr:col>3</xdr:col>
      <xdr:colOff>278487</xdr:colOff>
      <xdr:row>3</xdr:row>
      <xdr:rowOff>167946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860FB75-AD20-459A-B6BC-6D8051ED80F3}"/>
            </a:ext>
          </a:extLst>
        </xdr:cNvPr>
        <xdr:cNvPicPr/>
      </xdr:nvPicPr>
      <xdr:blipFill>
        <a:blip xmlns:r="http://schemas.openxmlformats.org/officeDocument/2006/relationships" r:embed="rId1"/>
        <a:srcRect l="7729" t="5295" r="70844" b="86232"/>
        <a:stretch/>
      </xdr:blipFill>
      <xdr:spPr>
        <a:xfrm>
          <a:off x="542925" y="455595"/>
          <a:ext cx="2688312" cy="116015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640602</xdr:colOff>
      <xdr:row>1</xdr:row>
      <xdr:rowOff>285751</xdr:rowOff>
    </xdr:from>
    <xdr:to>
      <xdr:col>5</xdr:col>
      <xdr:colOff>781051</xdr:colOff>
      <xdr:row>3</xdr:row>
      <xdr:rowOff>247651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B46477B-4EC9-4F16-ADA7-C601E4696E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593352" y="476251"/>
          <a:ext cx="3712324" cy="121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F85-82B9-404F-B8D4-E931BCA49570}">
  <sheetPr>
    <pageSetUpPr fitToPage="1"/>
  </sheetPr>
  <dimension ref="A1:AX75"/>
  <sheetViews>
    <sheetView showGridLines="0" tabSelected="1" zoomScale="85" zoomScaleNormal="85" workbookViewId="0">
      <pane xSplit="5" ySplit="10" topLeftCell="F24" activePane="bottomRight" state="frozen"/>
      <selection activeCell="I6" sqref="I6"/>
      <selection pane="topRight" activeCell="I6" sqref="I6"/>
      <selection pane="bottomLeft" activeCell="I6" sqref="I6"/>
      <selection pane="bottomRight" activeCell="E12" sqref="E12"/>
    </sheetView>
  </sheetViews>
  <sheetFormatPr baseColWidth="10" defaultColWidth="0" defaultRowHeight="15" zeroHeight="1" x14ac:dyDescent="0.25"/>
  <cols>
    <col min="1" max="1" width="3.85546875" style="27" customWidth="1"/>
    <col min="2" max="2" width="10" style="1" customWidth="1"/>
    <col min="3" max="3" width="30.42578125" style="2" customWidth="1"/>
    <col min="4" max="4" width="30.85546875" style="2" customWidth="1"/>
    <col min="5" max="5" width="22.7109375" style="2" customWidth="1"/>
    <col min="6" max="6" width="23.85546875" style="2" customWidth="1"/>
    <col min="7" max="7" width="24.7109375" style="2" customWidth="1"/>
    <col min="8" max="8" width="36.28515625" style="2" customWidth="1"/>
    <col min="9" max="9" width="26.85546875" style="3" customWidth="1"/>
    <col min="10" max="10" width="28.42578125" style="2" customWidth="1"/>
    <col min="11" max="11" width="33.140625" style="2" customWidth="1"/>
    <col min="12" max="12" width="15.42578125" style="2" customWidth="1"/>
    <col min="13" max="13" width="15.140625" style="2" customWidth="1"/>
    <col min="14" max="14" width="15.85546875" style="2" customWidth="1"/>
    <col min="15" max="15" width="21.42578125" style="2" customWidth="1"/>
    <col min="16" max="16" width="15.7109375" style="2" customWidth="1"/>
    <col min="17" max="17" width="18" style="2" customWidth="1"/>
    <col min="18" max="18" width="12.85546875" style="2" customWidth="1"/>
    <col min="19" max="19" width="20.42578125" style="2" customWidth="1"/>
    <col min="20" max="20" width="22.7109375" style="2" customWidth="1"/>
    <col min="21" max="21" width="14.7109375" style="2" customWidth="1"/>
    <col min="22" max="22" width="15" style="2" customWidth="1"/>
    <col min="23" max="23" width="10.7109375" style="2" customWidth="1"/>
    <col min="24" max="24" width="15.85546875" style="2" customWidth="1"/>
    <col min="25" max="25" width="14.42578125" style="2" customWidth="1"/>
    <col min="26" max="26" width="10.7109375" style="2" customWidth="1"/>
    <col min="27" max="27" width="15.7109375" style="2" customWidth="1"/>
    <col min="28" max="28" width="16.42578125" style="2" customWidth="1"/>
    <col min="29" max="29" width="18.42578125" style="2" customWidth="1"/>
    <col min="30" max="32" width="10.7109375" style="2" customWidth="1"/>
    <col min="33" max="33" width="22.85546875" style="2" customWidth="1"/>
    <col min="34" max="34" width="21.42578125" style="4" customWidth="1"/>
    <col min="35" max="35" width="20.140625" style="2" customWidth="1"/>
    <col min="36" max="36" width="19" style="2" customWidth="1"/>
    <col min="37" max="37" width="3.85546875" style="27" customWidth="1"/>
    <col min="38" max="38" width="11.42578125" style="27" hidden="1" customWidth="1"/>
    <col min="39" max="42" width="14.42578125" style="27" hidden="1" customWidth="1"/>
    <col min="43" max="43" width="0" style="27" hidden="1" customWidth="1"/>
    <col min="44" max="44" width="11.42578125" style="27" hidden="1" customWidth="1"/>
    <col min="45" max="48" width="14.42578125" style="27" hidden="1" customWidth="1"/>
    <col min="49" max="49" width="0" style="27" hidden="1" customWidth="1"/>
    <col min="50" max="50" width="11.42578125" style="27" hidden="1" customWidth="1"/>
    <col min="51" max="16384" width="14.42578125" style="27" hidden="1"/>
  </cols>
  <sheetData>
    <row r="1" spans="2:36" s="25" customFormat="1" ht="15" customHeight="1" thickBot="1" x14ac:dyDescent="0.3">
      <c r="C1" s="5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  <c r="AI1" s="5"/>
      <c r="AJ1" s="5"/>
    </row>
    <row r="2" spans="2:36" s="25" customFormat="1" ht="49.5" customHeight="1" thickBot="1" x14ac:dyDescent="0.25">
      <c r="B2" s="41"/>
      <c r="C2" s="42"/>
      <c r="D2" s="42"/>
      <c r="E2" s="42"/>
      <c r="F2" s="43"/>
      <c r="G2" s="67" t="s">
        <v>0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9"/>
      <c r="AH2" s="76" t="s">
        <v>437</v>
      </c>
      <c r="AI2" s="77"/>
      <c r="AJ2" s="78"/>
    </row>
    <row r="3" spans="2:36" s="25" customFormat="1" ht="49.5" customHeight="1" thickBot="1" x14ac:dyDescent="0.25">
      <c r="B3" s="44"/>
      <c r="C3" s="45"/>
      <c r="D3" s="45"/>
      <c r="E3" s="45"/>
      <c r="F3" s="46"/>
      <c r="G3" s="70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2"/>
      <c r="AH3" s="76" t="s">
        <v>367</v>
      </c>
      <c r="AI3" s="77"/>
      <c r="AJ3" s="78"/>
    </row>
    <row r="4" spans="2:36" s="25" customFormat="1" ht="49.5" customHeight="1" thickBot="1" x14ac:dyDescent="0.25">
      <c r="B4" s="47"/>
      <c r="C4" s="48"/>
      <c r="D4" s="48"/>
      <c r="E4" s="48"/>
      <c r="F4" s="49"/>
      <c r="G4" s="73" t="s">
        <v>1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5"/>
      <c r="AH4" s="79" t="s">
        <v>368</v>
      </c>
      <c r="AI4" s="80"/>
      <c r="AJ4" s="81"/>
    </row>
    <row r="5" spans="2:36" s="25" customFormat="1" ht="12" customHeight="1" thickBot="1" x14ac:dyDescent="0.25">
      <c r="B5" s="26"/>
      <c r="C5" s="8"/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38"/>
      <c r="AH5" s="9"/>
      <c r="AI5" s="9"/>
      <c r="AJ5" s="9"/>
    </row>
    <row r="6" spans="2:36" s="25" customFormat="1" ht="30.75" customHeight="1" thickBot="1" x14ac:dyDescent="0.25">
      <c r="B6" s="29"/>
      <c r="C6" s="30" t="s">
        <v>2</v>
      </c>
      <c r="D6" s="31">
        <v>2026</v>
      </c>
      <c r="E6" s="51" t="s">
        <v>3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10"/>
      <c r="S6" s="52" t="s">
        <v>4</v>
      </c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2:36" s="25" customFormat="1" ht="30.75" customHeight="1" thickBot="1" x14ac:dyDescent="0.25">
      <c r="B7" s="32"/>
      <c r="C7" s="33" t="s">
        <v>5</v>
      </c>
      <c r="D7" s="34" t="s">
        <v>6</v>
      </c>
      <c r="E7" s="54" t="s">
        <v>7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10"/>
      <c r="S7" s="55" t="s">
        <v>8</v>
      </c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</row>
    <row r="8" spans="2:36" s="25" customFormat="1" ht="15" customHeight="1" thickBot="1" x14ac:dyDescent="0.3">
      <c r="C8" s="11"/>
      <c r="D8" s="12"/>
      <c r="E8" s="12"/>
      <c r="F8" s="12"/>
      <c r="G8" s="12"/>
      <c r="H8" s="12"/>
      <c r="I8" s="1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4"/>
      <c r="AI8" s="12"/>
      <c r="AJ8" s="12"/>
    </row>
    <row r="9" spans="2:36" s="25" customFormat="1" ht="25.5" customHeight="1" thickBot="1" x14ac:dyDescent="0.25">
      <c r="B9" s="59" t="s">
        <v>358</v>
      </c>
      <c r="C9" s="57"/>
      <c r="D9" s="57"/>
      <c r="E9" s="57"/>
      <c r="F9" s="57"/>
      <c r="G9" s="58"/>
      <c r="H9" s="59" t="s">
        <v>9</v>
      </c>
      <c r="I9" s="57"/>
      <c r="J9" s="57"/>
      <c r="K9" s="57"/>
      <c r="L9" s="57"/>
      <c r="M9" s="57"/>
      <c r="N9" s="57"/>
      <c r="O9" s="57"/>
      <c r="P9" s="57"/>
      <c r="Q9" s="58"/>
      <c r="R9" s="60" t="s">
        <v>10</v>
      </c>
      <c r="S9" s="60"/>
      <c r="T9" s="60"/>
      <c r="U9" s="50" t="s">
        <v>11</v>
      </c>
      <c r="V9" s="50"/>
      <c r="W9" s="50"/>
      <c r="X9" s="50" t="s">
        <v>12</v>
      </c>
      <c r="Y9" s="50"/>
      <c r="Z9" s="50"/>
      <c r="AA9" s="50" t="s">
        <v>13</v>
      </c>
      <c r="AB9" s="50"/>
      <c r="AC9" s="50"/>
      <c r="AD9" s="50" t="s">
        <v>14</v>
      </c>
      <c r="AE9" s="50"/>
      <c r="AF9" s="50"/>
      <c r="AG9" s="61" t="s">
        <v>359</v>
      </c>
      <c r="AH9" s="62"/>
      <c r="AI9" s="61" t="s">
        <v>360</v>
      </c>
      <c r="AJ9" s="62"/>
    </row>
    <row r="10" spans="2:36" s="25" customFormat="1" ht="80.25" customHeight="1" thickBot="1" x14ac:dyDescent="0.25">
      <c r="B10" s="28" t="s">
        <v>15</v>
      </c>
      <c r="C10" s="15" t="s">
        <v>16</v>
      </c>
      <c r="D10" s="16" t="s">
        <v>17</v>
      </c>
      <c r="E10" s="16" t="s">
        <v>18</v>
      </c>
      <c r="F10" s="16" t="s">
        <v>19</v>
      </c>
      <c r="G10" s="16" t="s">
        <v>20</v>
      </c>
      <c r="H10" s="17" t="s">
        <v>21</v>
      </c>
      <c r="I10" s="18" t="s">
        <v>22</v>
      </c>
      <c r="J10" s="18" t="s">
        <v>23</v>
      </c>
      <c r="K10" s="18" t="s">
        <v>24</v>
      </c>
      <c r="L10" s="18" t="s">
        <v>25</v>
      </c>
      <c r="M10" s="18" t="s">
        <v>26</v>
      </c>
      <c r="N10" s="18" t="s">
        <v>27</v>
      </c>
      <c r="O10" s="18" t="s">
        <v>28</v>
      </c>
      <c r="P10" s="15" t="s">
        <v>29</v>
      </c>
      <c r="Q10" s="19" t="s">
        <v>30</v>
      </c>
      <c r="R10" s="18" t="s">
        <v>31</v>
      </c>
      <c r="S10" s="18" t="s">
        <v>32</v>
      </c>
      <c r="T10" s="18" t="s">
        <v>33</v>
      </c>
      <c r="U10" s="20" t="s">
        <v>34</v>
      </c>
      <c r="V10" s="20" t="s">
        <v>35</v>
      </c>
      <c r="W10" s="20" t="s">
        <v>36</v>
      </c>
      <c r="X10" s="20" t="s">
        <v>34</v>
      </c>
      <c r="Y10" s="20" t="s">
        <v>35</v>
      </c>
      <c r="Z10" s="20" t="s">
        <v>37</v>
      </c>
      <c r="AA10" s="20" t="s">
        <v>34</v>
      </c>
      <c r="AB10" s="20" t="s">
        <v>35</v>
      </c>
      <c r="AC10" s="21" t="s">
        <v>38</v>
      </c>
      <c r="AD10" s="20" t="s">
        <v>34</v>
      </c>
      <c r="AE10" s="20" t="s">
        <v>35</v>
      </c>
      <c r="AF10" s="20" t="s">
        <v>39</v>
      </c>
      <c r="AG10" s="139" t="s">
        <v>40</v>
      </c>
      <c r="AH10" s="22" t="s">
        <v>41</v>
      </c>
      <c r="AI10" s="16" t="s">
        <v>42</v>
      </c>
      <c r="AJ10" s="16" t="s">
        <v>43</v>
      </c>
    </row>
    <row r="11" spans="2:36" s="38" customFormat="1" ht="102" customHeight="1" thickBot="1" x14ac:dyDescent="0.25">
      <c r="B11" s="64">
        <v>1</v>
      </c>
      <c r="C11" s="83" t="s">
        <v>44</v>
      </c>
      <c r="D11" s="83" t="s">
        <v>45</v>
      </c>
      <c r="E11" s="83" t="s">
        <v>46</v>
      </c>
      <c r="F11" s="84" t="s">
        <v>47</v>
      </c>
      <c r="G11" s="84" t="s">
        <v>48</v>
      </c>
      <c r="H11" s="84" t="s">
        <v>49</v>
      </c>
      <c r="I11" s="84" t="s">
        <v>280</v>
      </c>
      <c r="J11" s="84" t="s">
        <v>50</v>
      </c>
      <c r="K11" s="84" t="s">
        <v>281</v>
      </c>
      <c r="L11" s="84" t="s">
        <v>51</v>
      </c>
      <c r="M11" s="84" t="s">
        <v>52</v>
      </c>
      <c r="N11" s="85">
        <v>80.599999999999994</v>
      </c>
      <c r="O11" s="84" t="s">
        <v>373</v>
      </c>
      <c r="P11" s="86" t="s">
        <v>277</v>
      </c>
      <c r="Q11" s="86">
        <v>1</v>
      </c>
      <c r="R11" s="84" t="s">
        <v>53</v>
      </c>
      <c r="S11" s="87">
        <v>46023</v>
      </c>
      <c r="T11" s="87">
        <v>46387</v>
      </c>
      <c r="U11" s="88" t="s">
        <v>156</v>
      </c>
      <c r="V11" s="88" t="s">
        <v>156</v>
      </c>
      <c r="W11" s="89" t="s">
        <v>54</v>
      </c>
      <c r="X11" s="88" t="s">
        <v>156</v>
      </c>
      <c r="Y11" s="88" t="s">
        <v>156</v>
      </c>
      <c r="Z11" s="89" t="s">
        <v>54</v>
      </c>
      <c r="AA11" s="90">
        <v>0</v>
      </c>
      <c r="AB11" s="91">
        <v>86</v>
      </c>
      <c r="AC11" s="89">
        <f>+(AA11/AB11)*$Q$11</f>
        <v>0</v>
      </c>
      <c r="AD11" s="88" t="s">
        <v>156</v>
      </c>
      <c r="AE11" s="88" t="s">
        <v>156</v>
      </c>
      <c r="AF11" s="89" t="s">
        <v>54</v>
      </c>
      <c r="AG11" s="140">
        <f>+(AC11)</f>
        <v>0</v>
      </c>
      <c r="AH11" s="145">
        <f>+(AG11+AG12+AG13+AG14)/4</f>
        <v>0</v>
      </c>
      <c r="AI11" s="89" t="s">
        <v>55</v>
      </c>
      <c r="AJ11" s="89" t="s">
        <v>56</v>
      </c>
    </row>
    <row r="12" spans="2:36" s="38" customFormat="1" ht="106.5" customHeight="1" thickBot="1" x14ac:dyDescent="0.25">
      <c r="B12" s="64">
        <v>2</v>
      </c>
      <c r="C12" s="92" t="s">
        <v>44</v>
      </c>
      <c r="D12" s="83" t="s">
        <v>45</v>
      </c>
      <c r="E12" s="83" t="s">
        <v>46</v>
      </c>
      <c r="F12" s="84" t="s">
        <v>47</v>
      </c>
      <c r="G12" s="84" t="s">
        <v>48</v>
      </c>
      <c r="H12" s="84" t="s">
        <v>278</v>
      </c>
      <c r="I12" s="84" t="s">
        <v>282</v>
      </c>
      <c r="J12" s="84" t="s">
        <v>279</v>
      </c>
      <c r="K12" s="84" t="s">
        <v>283</v>
      </c>
      <c r="L12" s="84" t="s">
        <v>57</v>
      </c>
      <c r="M12" s="84" t="s">
        <v>52</v>
      </c>
      <c r="N12" s="36">
        <v>3</v>
      </c>
      <c r="O12" s="84" t="s">
        <v>374</v>
      </c>
      <c r="P12" s="93">
        <v>4</v>
      </c>
      <c r="Q12" s="86">
        <v>0.25</v>
      </c>
      <c r="R12" s="84" t="s">
        <v>58</v>
      </c>
      <c r="S12" s="87">
        <v>46023</v>
      </c>
      <c r="T12" s="87">
        <v>46387</v>
      </c>
      <c r="U12" s="88">
        <v>0</v>
      </c>
      <c r="V12" s="88">
        <v>12</v>
      </c>
      <c r="W12" s="89">
        <f>+(U12/V12)*$Q$12</f>
        <v>0</v>
      </c>
      <c r="X12" s="94">
        <v>0</v>
      </c>
      <c r="Y12" s="88">
        <v>12</v>
      </c>
      <c r="Z12" s="89">
        <f>+(X12/Y12)*$Q$12</f>
        <v>0</v>
      </c>
      <c r="AA12" s="88">
        <v>0</v>
      </c>
      <c r="AB12" s="88">
        <v>12</v>
      </c>
      <c r="AC12" s="89">
        <f>+(AA12/AB12)*0.25</f>
        <v>0</v>
      </c>
      <c r="AD12" s="94">
        <v>0</v>
      </c>
      <c r="AE12" s="88">
        <v>12</v>
      </c>
      <c r="AF12" s="89">
        <f>+(AD12/AE12)*0.25</f>
        <v>0</v>
      </c>
      <c r="AG12" s="141">
        <f>Z12+AF12+AC12</f>
        <v>0</v>
      </c>
      <c r="AH12" s="145"/>
      <c r="AI12" s="89" t="s">
        <v>55</v>
      </c>
      <c r="AJ12" s="95" t="s">
        <v>56</v>
      </c>
    </row>
    <row r="13" spans="2:36" s="38" customFormat="1" ht="96.75" customHeight="1" thickBot="1" x14ac:dyDescent="0.25">
      <c r="B13" s="64">
        <v>3</v>
      </c>
      <c r="C13" s="83" t="s">
        <v>361</v>
      </c>
      <c r="D13" s="96" t="s">
        <v>45</v>
      </c>
      <c r="E13" s="83" t="s">
        <v>46</v>
      </c>
      <c r="F13" s="84" t="s">
        <v>47</v>
      </c>
      <c r="G13" s="84" t="s">
        <v>48</v>
      </c>
      <c r="H13" s="84" t="s">
        <v>378</v>
      </c>
      <c r="I13" s="84" t="s">
        <v>59</v>
      </c>
      <c r="J13" s="84" t="s">
        <v>379</v>
      </c>
      <c r="K13" s="84" t="s">
        <v>60</v>
      </c>
      <c r="L13" s="84" t="s">
        <v>57</v>
      </c>
      <c r="M13" s="84" t="s">
        <v>61</v>
      </c>
      <c r="N13" s="84">
        <v>4</v>
      </c>
      <c r="O13" s="84" t="s">
        <v>374</v>
      </c>
      <c r="P13" s="94">
        <v>4</v>
      </c>
      <c r="Q13" s="86">
        <v>0.25</v>
      </c>
      <c r="R13" s="84" t="s">
        <v>62</v>
      </c>
      <c r="S13" s="87">
        <v>46023</v>
      </c>
      <c r="T13" s="87">
        <v>46387</v>
      </c>
      <c r="U13" s="94">
        <v>0</v>
      </c>
      <c r="V13" s="88">
        <v>1</v>
      </c>
      <c r="W13" s="89">
        <f>+(U13/V13)*$Q$13</f>
        <v>0</v>
      </c>
      <c r="X13" s="94">
        <v>0</v>
      </c>
      <c r="Y13" s="88">
        <v>1</v>
      </c>
      <c r="Z13" s="89">
        <f>+(X13/Y13)*$Q$13</f>
        <v>0</v>
      </c>
      <c r="AA13" s="94">
        <v>0</v>
      </c>
      <c r="AB13" s="88">
        <v>1</v>
      </c>
      <c r="AC13" s="89">
        <f>+(AA13/AB13)*$Q$13</f>
        <v>0</v>
      </c>
      <c r="AD13" s="94">
        <v>0</v>
      </c>
      <c r="AE13" s="88">
        <v>1</v>
      </c>
      <c r="AF13" s="89">
        <f>+(AD13/AE13)*$Q$13</f>
        <v>0</v>
      </c>
      <c r="AG13" s="141">
        <f t="shared" ref="AG13:AG20" si="0">+W13+Z13+AC13+AF13</f>
        <v>0</v>
      </c>
      <c r="AH13" s="145"/>
      <c r="AI13" s="89" t="s">
        <v>55</v>
      </c>
      <c r="AJ13" s="95" t="s">
        <v>56</v>
      </c>
    </row>
    <row r="14" spans="2:36" s="38" customFormat="1" ht="107.25" customHeight="1" thickBot="1" x14ac:dyDescent="0.25">
      <c r="B14" s="64">
        <v>4</v>
      </c>
      <c r="C14" s="83" t="s">
        <v>353</v>
      </c>
      <c r="D14" s="83" t="s">
        <v>45</v>
      </c>
      <c r="E14" s="83" t="s">
        <v>46</v>
      </c>
      <c r="F14" s="84" t="s">
        <v>47</v>
      </c>
      <c r="G14" s="84" t="s">
        <v>48</v>
      </c>
      <c r="H14" s="84" t="s">
        <v>63</v>
      </c>
      <c r="I14" s="84" t="s">
        <v>380</v>
      </c>
      <c r="J14" s="84" t="s">
        <v>64</v>
      </c>
      <c r="K14" s="84" t="s">
        <v>381</v>
      </c>
      <c r="L14" s="84" t="s">
        <v>57</v>
      </c>
      <c r="M14" s="84" t="s">
        <v>61</v>
      </c>
      <c r="N14" s="84">
        <v>2</v>
      </c>
      <c r="O14" s="84" t="s">
        <v>374</v>
      </c>
      <c r="P14" s="94">
        <v>4</v>
      </c>
      <c r="Q14" s="86">
        <v>0.25</v>
      </c>
      <c r="R14" s="84" t="s">
        <v>62</v>
      </c>
      <c r="S14" s="87">
        <v>46023</v>
      </c>
      <c r="T14" s="87">
        <v>46387</v>
      </c>
      <c r="U14" s="94">
        <v>0</v>
      </c>
      <c r="V14" s="88">
        <v>1</v>
      </c>
      <c r="W14" s="89">
        <f>+(U14/V14)*$Q$14</f>
        <v>0</v>
      </c>
      <c r="X14" s="94">
        <v>0</v>
      </c>
      <c r="Y14" s="88">
        <v>1</v>
      </c>
      <c r="Z14" s="89">
        <f>+(X14/Y14)*$Q$14</f>
        <v>0</v>
      </c>
      <c r="AA14" s="94">
        <v>0</v>
      </c>
      <c r="AB14" s="88">
        <v>1</v>
      </c>
      <c r="AC14" s="89">
        <f>+(AA14/AB14)*$Q$14</f>
        <v>0</v>
      </c>
      <c r="AD14" s="94">
        <v>0</v>
      </c>
      <c r="AE14" s="88">
        <v>1</v>
      </c>
      <c r="AF14" s="89">
        <f>+(AD14/AE14)*$Q$14</f>
        <v>0</v>
      </c>
      <c r="AG14" s="141">
        <f t="shared" si="0"/>
        <v>0</v>
      </c>
      <c r="AH14" s="145"/>
      <c r="AI14" s="89" t="s">
        <v>55</v>
      </c>
      <c r="AJ14" s="95" t="s">
        <v>56</v>
      </c>
    </row>
    <row r="15" spans="2:36" s="40" customFormat="1" ht="74.25" customHeight="1" thickBot="1" x14ac:dyDescent="0.25">
      <c r="B15" s="64">
        <v>5</v>
      </c>
      <c r="C15" s="83" t="s">
        <v>392</v>
      </c>
      <c r="D15" s="83" t="s">
        <v>85</v>
      </c>
      <c r="E15" s="83" t="s">
        <v>66</v>
      </c>
      <c r="F15" s="83" t="s">
        <v>67</v>
      </c>
      <c r="G15" s="83" t="s">
        <v>68</v>
      </c>
      <c r="H15" s="83" t="s">
        <v>69</v>
      </c>
      <c r="I15" s="83" t="s">
        <v>284</v>
      </c>
      <c r="J15" s="83" t="s">
        <v>70</v>
      </c>
      <c r="K15" s="83" t="s">
        <v>71</v>
      </c>
      <c r="L15" s="83" t="s">
        <v>51</v>
      </c>
      <c r="M15" s="83" t="s">
        <v>52</v>
      </c>
      <c r="N15" s="97">
        <v>0.94</v>
      </c>
      <c r="O15" s="83" t="s">
        <v>72</v>
      </c>
      <c r="P15" s="97">
        <v>0.96</v>
      </c>
      <c r="Q15" s="98">
        <v>0.25</v>
      </c>
      <c r="R15" s="83" t="s">
        <v>62</v>
      </c>
      <c r="S15" s="87">
        <v>46023</v>
      </c>
      <c r="T15" s="87">
        <v>46387</v>
      </c>
      <c r="U15" s="97">
        <v>0</v>
      </c>
      <c r="V15" s="97">
        <f>+$P$15</f>
        <v>0.96</v>
      </c>
      <c r="W15" s="99">
        <f>IF(((U15*0.25)/V15)&gt;0.25,0.25,(U15*0.25)/V15)</f>
        <v>0</v>
      </c>
      <c r="X15" s="97">
        <v>0</v>
      </c>
      <c r="Y15" s="97">
        <f>+$P$15</f>
        <v>0.96</v>
      </c>
      <c r="Z15" s="99">
        <f>IF(((X15*0.25)/Y15)&gt;0.25,0.25,(X15*0.25)/Y15)</f>
        <v>0</v>
      </c>
      <c r="AA15" s="97">
        <v>0</v>
      </c>
      <c r="AB15" s="97">
        <f>+$P$15</f>
        <v>0.96</v>
      </c>
      <c r="AC15" s="99">
        <f>IF(((AA15*0.25)/AB15)&gt;0.25,0.25,(AA15*0.25)/AB15)</f>
        <v>0</v>
      </c>
      <c r="AD15" s="94">
        <v>0</v>
      </c>
      <c r="AE15" s="97">
        <f>+$P$15</f>
        <v>0.96</v>
      </c>
      <c r="AF15" s="99">
        <f>IF(((AD15*0.25)/AE15)&gt;0.25,0.25,(AD15*0.25)/AE15)</f>
        <v>0</v>
      </c>
      <c r="AG15" s="142">
        <f t="shared" si="0"/>
        <v>0</v>
      </c>
      <c r="AH15" s="126">
        <f>+(AG15+AG16+AG17+AG18)/4</f>
        <v>0</v>
      </c>
      <c r="AI15" s="99" t="s">
        <v>73</v>
      </c>
      <c r="AJ15" s="100" t="s">
        <v>74</v>
      </c>
    </row>
    <row r="16" spans="2:36" s="40" customFormat="1" ht="82.5" customHeight="1" thickBot="1" x14ac:dyDescent="0.25">
      <c r="B16" s="64">
        <v>6</v>
      </c>
      <c r="C16" s="83" t="s">
        <v>392</v>
      </c>
      <c r="D16" s="83" t="s">
        <v>65</v>
      </c>
      <c r="E16" s="83" t="s">
        <v>66</v>
      </c>
      <c r="F16" s="83" t="s">
        <v>75</v>
      </c>
      <c r="G16" s="83" t="s">
        <v>68</v>
      </c>
      <c r="H16" s="83" t="s">
        <v>76</v>
      </c>
      <c r="I16" s="83" t="s">
        <v>77</v>
      </c>
      <c r="J16" s="83" t="s">
        <v>78</v>
      </c>
      <c r="K16" s="83" t="s">
        <v>285</v>
      </c>
      <c r="L16" s="83" t="s">
        <v>51</v>
      </c>
      <c r="M16" s="83" t="s">
        <v>79</v>
      </c>
      <c r="N16" s="97">
        <v>0.95</v>
      </c>
      <c r="O16" s="83" t="s">
        <v>72</v>
      </c>
      <c r="P16" s="97">
        <v>0.96</v>
      </c>
      <c r="Q16" s="98">
        <v>0.25</v>
      </c>
      <c r="R16" s="83" t="s">
        <v>62</v>
      </c>
      <c r="S16" s="87">
        <v>46023</v>
      </c>
      <c r="T16" s="87">
        <v>46387</v>
      </c>
      <c r="U16" s="97">
        <v>0</v>
      </c>
      <c r="V16" s="97">
        <f>+$P$16</f>
        <v>0.96</v>
      </c>
      <c r="W16" s="99">
        <f>IF(((U16*$Q$16)/V16)&gt;0.25,0.25,(U16*$Q$16)/V16)</f>
        <v>0</v>
      </c>
      <c r="X16" s="97">
        <v>0</v>
      </c>
      <c r="Y16" s="97">
        <f>+$P$16</f>
        <v>0.96</v>
      </c>
      <c r="Z16" s="99">
        <f>IF(((X16*$Q$16)/Y16)&gt;0.25,0.25,(X16*$Q$16)/Y16)</f>
        <v>0</v>
      </c>
      <c r="AA16" s="97">
        <v>0</v>
      </c>
      <c r="AB16" s="97">
        <f>+$P$16</f>
        <v>0.96</v>
      </c>
      <c r="AC16" s="99">
        <f>IF(((AA16*$Q$16)/AB16)&gt;0.25,0.25,(AA16*$Q$16)/AB16)</f>
        <v>0</v>
      </c>
      <c r="AD16" s="94">
        <v>0</v>
      </c>
      <c r="AE16" s="97">
        <f>+$P$16</f>
        <v>0.96</v>
      </c>
      <c r="AF16" s="99">
        <f>IF(((AD16*$Q$16)/AE16)&gt;0.25,0.25,(AD16*$Q$16)/AE16)</f>
        <v>0</v>
      </c>
      <c r="AG16" s="142">
        <f t="shared" si="0"/>
        <v>0</v>
      </c>
      <c r="AH16" s="126"/>
      <c r="AI16" s="99" t="s">
        <v>73</v>
      </c>
      <c r="AJ16" s="100" t="s">
        <v>74</v>
      </c>
    </row>
    <row r="17" spans="2:36" s="40" customFormat="1" ht="62.25" customHeight="1" thickBot="1" x14ac:dyDescent="0.25">
      <c r="B17" s="64">
        <v>7</v>
      </c>
      <c r="C17" s="83" t="s">
        <v>392</v>
      </c>
      <c r="D17" s="83" t="s">
        <v>65</v>
      </c>
      <c r="E17" s="83" t="s">
        <v>66</v>
      </c>
      <c r="F17" s="83" t="s">
        <v>75</v>
      </c>
      <c r="G17" s="83" t="s">
        <v>68</v>
      </c>
      <c r="H17" s="83" t="s">
        <v>287</v>
      </c>
      <c r="I17" s="83" t="s">
        <v>288</v>
      </c>
      <c r="J17" s="83" t="s">
        <v>289</v>
      </c>
      <c r="K17" s="83" t="s">
        <v>286</v>
      </c>
      <c r="L17" s="83" t="s">
        <v>51</v>
      </c>
      <c r="M17" s="83" t="s">
        <v>79</v>
      </c>
      <c r="N17" s="97">
        <v>0.75</v>
      </c>
      <c r="O17" s="83" t="s">
        <v>80</v>
      </c>
      <c r="P17" s="94" t="s">
        <v>350</v>
      </c>
      <c r="Q17" s="98">
        <v>0.25</v>
      </c>
      <c r="R17" s="83" t="s">
        <v>62</v>
      </c>
      <c r="S17" s="87">
        <v>46023</v>
      </c>
      <c r="T17" s="87">
        <v>46387</v>
      </c>
      <c r="U17" s="94">
        <v>0</v>
      </c>
      <c r="V17" s="101">
        <v>16</v>
      </c>
      <c r="W17" s="99">
        <f>IFERROR((U17/V17)*$Q$17,0)</f>
        <v>0</v>
      </c>
      <c r="X17" s="94">
        <v>0</v>
      </c>
      <c r="Y17" s="101">
        <v>16</v>
      </c>
      <c r="Z17" s="99">
        <f>IFERROR((X17/Y17)*$Q$17,0)</f>
        <v>0</v>
      </c>
      <c r="AA17" s="94">
        <v>0</v>
      </c>
      <c r="AB17" s="101">
        <v>17</v>
      </c>
      <c r="AC17" s="99">
        <f>IFERROR((AA17/AB17)*$Q$17,0)</f>
        <v>0</v>
      </c>
      <c r="AD17" s="94">
        <v>0</v>
      </c>
      <c r="AE17" s="101">
        <v>17</v>
      </c>
      <c r="AF17" s="99">
        <f>IFERROR((AD17/AE17)*$Q$17,0)</f>
        <v>0</v>
      </c>
      <c r="AG17" s="142">
        <f t="shared" si="0"/>
        <v>0</v>
      </c>
      <c r="AH17" s="126"/>
      <c r="AI17" s="99" t="s">
        <v>73</v>
      </c>
      <c r="AJ17" s="100" t="s">
        <v>74</v>
      </c>
    </row>
    <row r="18" spans="2:36" s="40" customFormat="1" ht="70.5" customHeight="1" thickBot="1" x14ac:dyDescent="0.25">
      <c r="B18" s="64">
        <v>8</v>
      </c>
      <c r="C18" s="83" t="s">
        <v>392</v>
      </c>
      <c r="D18" s="83" t="s">
        <v>65</v>
      </c>
      <c r="E18" s="83" t="s">
        <v>66</v>
      </c>
      <c r="F18" s="83" t="s">
        <v>75</v>
      </c>
      <c r="G18" s="83" t="s">
        <v>68</v>
      </c>
      <c r="H18" s="83" t="s">
        <v>318</v>
      </c>
      <c r="I18" s="83" t="s">
        <v>82</v>
      </c>
      <c r="J18" s="83" t="s">
        <v>83</v>
      </c>
      <c r="K18" s="83" t="s">
        <v>382</v>
      </c>
      <c r="L18" s="83" t="s">
        <v>57</v>
      </c>
      <c r="M18" s="83" t="s">
        <v>79</v>
      </c>
      <c r="N18" s="83">
        <v>900</v>
      </c>
      <c r="O18" s="83" t="s">
        <v>80</v>
      </c>
      <c r="P18" s="102">
        <v>800</v>
      </c>
      <c r="Q18" s="98">
        <v>0.25</v>
      </c>
      <c r="R18" s="83" t="s">
        <v>62</v>
      </c>
      <c r="S18" s="87">
        <v>46023</v>
      </c>
      <c r="T18" s="87">
        <v>46387</v>
      </c>
      <c r="U18" s="94">
        <v>0</v>
      </c>
      <c r="V18" s="101">
        <v>150</v>
      </c>
      <c r="W18" s="99">
        <f>IFERROR((U18/V18)*$Q$18,0)</f>
        <v>0</v>
      </c>
      <c r="X18" s="94">
        <v>0</v>
      </c>
      <c r="Y18" s="101">
        <v>225</v>
      </c>
      <c r="Z18" s="99">
        <f>IFERROR((X18/Y18)*$Q$18,0)</f>
        <v>0</v>
      </c>
      <c r="AA18" s="94">
        <v>0</v>
      </c>
      <c r="AB18" s="101">
        <v>225</v>
      </c>
      <c r="AC18" s="99">
        <f>IFERROR((AA18/AB18)*$Q$18,0)</f>
        <v>0</v>
      </c>
      <c r="AD18" s="102">
        <v>0</v>
      </c>
      <c r="AE18" s="101">
        <v>200</v>
      </c>
      <c r="AF18" s="99">
        <f>IFERROR((AD18/AE18)*$Q$18,0)</f>
        <v>0</v>
      </c>
      <c r="AG18" s="142">
        <f t="shared" si="0"/>
        <v>0</v>
      </c>
      <c r="AH18" s="126"/>
      <c r="AI18" s="99" t="s">
        <v>73</v>
      </c>
      <c r="AJ18" s="100" t="s">
        <v>74</v>
      </c>
    </row>
    <row r="19" spans="2:36" s="40" customFormat="1" ht="95.25" customHeight="1" thickBot="1" x14ac:dyDescent="0.25">
      <c r="B19" s="64">
        <v>9</v>
      </c>
      <c r="C19" s="83" t="s">
        <v>383</v>
      </c>
      <c r="D19" s="83" t="s">
        <v>85</v>
      </c>
      <c r="E19" s="83" t="s">
        <v>86</v>
      </c>
      <c r="F19" s="83" t="s">
        <v>87</v>
      </c>
      <c r="G19" s="83" t="s">
        <v>88</v>
      </c>
      <c r="H19" s="83" t="s">
        <v>89</v>
      </c>
      <c r="I19" s="83" t="s">
        <v>290</v>
      </c>
      <c r="J19" s="83" t="s">
        <v>90</v>
      </c>
      <c r="K19" s="83" t="s">
        <v>291</v>
      </c>
      <c r="L19" s="83" t="s">
        <v>57</v>
      </c>
      <c r="M19" s="83" t="s">
        <v>52</v>
      </c>
      <c r="N19" s="83">
        <v>4000</v>
      </c>
      <c r="O19" s="83" t="s">
        <v>91</v>
      </c>
      <c r="P19" s="97">
        <v>0.2</v>
      </c>
      <c r="Q19" s="98">
        <v>0.25</v>
      </c>
      <c r="R19" s="83" t="s">
        <v>62</v>
      </c>
      <c r="S19" s="87">
        <v>46023</v>
      </c>
      <c r="T19" s="87">
        <v>46387</v>
      </c>
      <c r="U19" s="102">
        <v>0</v>
      </c>
      <c r="V19" s="101">
        <v>1050</v>
      </c>
      <c r="W19" s="99">
        <f>IF(U19&gt;=V19, Q19, Q19 * (U19 / V19))</f>
        <v>0</v>
      </c>
      <c r="X19" s="102">
        <v>0</v>
      </c>
      <c r="Y19" s="101">
        <v>60</v>
      </c>
      <c r="Z19" s="99">
        <f>IF(X19&gt;=Y19, Q19, Q19 * (X19 / Y19))</f>
        <v>0</v>
      </c>
      <c r="AA19" s="102">
        <v>0</v>
      </c>
      <c r="AB19" s="101">
        <v>350</v>
      </c>
      <c r="AC19" s="99">
        <f>IF(AA19&gt;=AB19, Q19, Q19 * (AA19 / AB19))</f>
        <v>0</v>
      </c>
      <c r="AD19" s="102">
        <v>0</v>
      </c>
      <c r="AE19" s="101">
        <v>1540</v>
      </c>
      <c r="AF19" s="99">
        <f>IFERROR((AD19/AE19)*0.25,0)</f>
        <v>0</v>
      </c>
      <c r="AG19" s="142">
        <f t="shared" si="0"/>
        <v>0</v>
      </c>
      <c r="AH19" s="103">
        <f>AVERAGE(AG19:AG21)</f>
        <v>0</v>
      </c>
      <c r="AI19" s="99" t="s">
        <v>73</v>
      </c>
      <c r="AJ19" s="100" t="s">
        <v>74</v>
      </c>
    </row>
    <row r="20" spans="2:36" s="40" customFormat="1" ht="102" customHeight="1" thickBot="1" x14ac:dyDescent="0.25">
      <c r="B20" s="64">
        <v>10</v>
      </c>
      <c r="C20" s="83" t="s">
        <v>383</v>
      </c>
      <c r="D20" s="83" t="s">
        <v>85</v>
      </c>
      <c r="E20" s="83" t="s">
        <v>86</v>
      </c>
      <c r="F20" s="83" t="s">
        <v>87</v>
      </c>
      <c r="G20" s="83" t="s">
        <v>92</v>
      </c>
      <c r="H20" s="83" t="s">
        <v>93</v>
      </c>
      <c r="I20" s="83" t="s">
        <v>292</v>
      </c>
      <c r="J20" s="83" t="s">
        <v>293</v>
      </c>
      <c r="K20" s="83" t="s">
        <v>294</v>
      </c>
      <c r="L20" s="83" t="s">
        <v>51</v>
      </c>
      <c r="M20" s="83" t="s">
        <v>52</v>
      </c>
      <c r="N20" s="83">
        <v>100</v>
      </c>
      <c r="O20" s="83" t="s">
        <v>91</v>
      </c>
      <c r="P20" s="102">
        <v>105</v>
      </c>
      <c r="Q20" s="98">
        <v>0.25</v>
      </c>
      <c r="R20" s="83" t="s">
        <v>62</v>
      </c>
      <c r="S20" s="87">
        <v>46023</v>
      </c>
      <c r="T20" s="87">
        <v>46387</v>
      </c>
      <c r="U20" s="102">
        <v>0</v>
      </c>
      <c r="V20" s="101">
        <v>20</v>
      </c>
      <c r="W20" s="99">
        <f>IFERROR((U20/V20)*$Q$20,0)</f>
        <v>0</v>
      </c>
      <c r="X20" s="102">
        <v>0</v>
      </c>
      <c r="Y20" s="101">
        <v>38</v>
      </c>
      <c r="Z20" s="99">
        <f>IF(X20&gt;=Y20, Q20, Q20 * (X20 / Y20))</f>
        <v>0</v>
      </c>
      <c r="AA20" s="102">
        <v>0</v>
      </c>
      <c r="AB20" s="101">
        <v>32</v>
      </c>
      <c r="AC20" s="99">
        <f>IF(AA20&gt;=AB20, Q20, Q20 * (AA20 / AB20))</f>
        <v>0</v>
      </c>
      <c r="AD20" s="102">
        <v>0</v>
      </c>
      <c r="AE20" s="101">
        <v>15</v>
      </c>
      <c r="AF20" s="99">
        <f>IFERROR((AD20/AE20)*$Q$20,0)</f>
        <v>0</v>
      </c>
      <c r="AG20" s="142">
        <f t="shared" si="0"/>
        <v>0</v>
      </c>
      <c r="AH20" s="103"/>
      <c r="AI20" s="99" t="s">
        <v>73</v>
      </c>
      <c r="AJ20" s="100" t="s">
        <v>74</v>
      </c>
    </row>
    <row r="21" spans="2:36" s="40" customFormat="1" ht="139.5" customHeight="1" thickBot="1" x14ac:dyDescent="0.25">
      <c r="B21" s="64">
        <v>11</v>
      </c>
      <c r="C21" s="83" t="s">
        <v>383</v>
      </c>
      <c r="D21" s="83" t="s">
        <v>85</v>
      </c>
      <c r="E21" s="83" t="s">
        <v>86</v>
      </c>
      <c r="F21" s="83" t="s">
        <v>87</v>
      </c>
      <c r="G21" s="83" t="s">
        <v>88</v>
      </c>
      <c r="H21" s="83" t="s">
        <v>94</v>
      </c>
      <c r="I21" s="83" t="s">
        <v>95</v>
      </c>
      <c r="J21" s="83" t="s">
        <v>295</v>
      </c>
      <c r="K21" s="83" t="s">
        <v>296</v>
      </c>
      <c r="L21" s="83" t="s">
        <v>51</v>
      </c>
      <c r="M21" s="83" t="s">
        <v>52</v>
      </c>
      <c r="N21" s="83">
        <v>48</v>
      </c>
      <c r="O21" s="83" t="s">
        <v>91</v>
      </c>
      <c r="P21" s="102">
        <v>91</v>
      </c>
      <c r="Q21" s="98">
        <v>0.5</v>
      </c>
      <c r="R21" s="83" t="s">
        <v>96</v>
      </c>
      <c r="S21" s="87">
        <v>46023</v>
      </c>
      <c r="T21" s="87">
        <v>46387</v>
      </c>
      <c r="U21" s="102" t="s">
        <v>237</v>
      </c>
      <c r="V21" s="102" t="s">
        <v>237</v>
      </c>
      <c r="W21" s="99" t="s">
        <v>54</v>
      </c>
      <c r="X21" s="102">
        <v>0</v>
      </c>
      <c r="Y21" s="101">
        <v>50</v>
      </c>
      <c r="Z21" s="99">
        <f>IFERROR((X21/Y21)*$Q$21,0)</f>
        <v>0</v>
      </c>
      <c r="AA21" s="102" t="s">
        <v>237</v>
      </c>
      <c r="AB21" s="102" t="s">
        <v>237</v>
      </c>
      <c r="AC21" s="99" t="s">
        <v>54</v>
      </c>
      <c r="AD21" s="102">
        <v>0</v>
      </c>
      <c r="AE21" s="101">
        <v>41</v>
      </c>
      <c r="AF21" s="99">
        <f>IFERROR((AD21/AE21)*$Q$21,0)</f>
        <v>0</v>
      </c>
      <c r="AG21" s="142">
        <f>Z21+AF21</f>
        <v>0</v>
      </c>
      <c r="AH21" s="103"/>
      <c r="AI21" s="99" t="s">
        <v>73</v>
      </c>
      <c r="AJ21" s="100" t="s">
        <v>74</v>
      </c>
    </row>
    <row r="22" spans="2:36" s="40" customFormat="1" ht="91.5" customHeight="1" thickBot="1" x14ac:dyDescent="0.25">
      <c r="B22" s="64">
        <v>12</v>
      </c>
      <c r="C22" s="83" t="s">
        <v>383</v>
      </c>
      <c r="D22" s="83" t="s">
        <v>150</v>
      </c>
      <c r="E22" s="83" t="s">
        <v>97</v>
      </c>
      <c r="F22" s="83" t="s">
        <v>362</v>
      </c>
      <c r="G22" s="83" t="s">
        <v>88</v>
      </c>
      <c r="H22" s="83" t="s">
        <v>384</v>
      </c>
      <c r="I22" s="83" t="s">
        <v>385</v>
      </c>
      <c r="J22" s="83" t="s">
        <v>386</v>
      </c>
      <c r="K22" s="83" t="s">
        <v>387</v>
      </c>
      <c r="L22" s="83" t="s">
        <v>51</v>
      </c>
      <c r="M22" s="83" t="s">
        <v>52</v>
      </c>
      <c r="N22" s="83">
        <v>0</v>
      </c>
      <c r="O22" s="83" t="s">
        <v>388</v>
      </c>
      <c r="P22" s="104">
        <v>0.9</v>
      </c>
      <c r="Q22" s="98">
        <v>0.25</v>
      </c>
      <c r="R22" s="83" t="s">
        <v>62</v>
      </c>
      <c r="S22" s="87">
        <v>46023</v>
      </c>
      <c r="T22" s="87">
        <v>46387</v>
      </c>
      <c r="U22" s="105">
        <v>0</v>
      </c>
      <c r="V22" s="97">
        <v>0.9</v>
      </c>
      <c r="W22" s="99">
        <f>IFERROR((U22/V22)*$Q$22,0)</f>
        <v>0</v>
      </c>
      <c r="X22" s="105">
        <v>0</v>
      </c>
      <c r="Y22" s="97">
        <v>0.9</v>
      </c>
      <c r="Z22" s="99">
        <f>IFERROR((X22/Y22)*$Q$22,0)</f>
        <v>0</v>
      </c>
      <c r="AA22" s="105">
        <v>0</v>
      </c>
      <c r="AB22" s="97">
        <v>0.9</v>
      </c>
      <c r="AC22" s="99">
        <f>IFERROR((AA22/AB22)*$Q$22,0)</f>
        <v>0</v>
      </c>
      <c r="AD22" s="105">
        <v>0</v>
      </c>
      <c r="AE22" s="97">
        <v>0.9</v>
      </c>
      <c r="AF22" s="99">
        <f>IFERROR((AD22/AE22)*$Q$22,0)</f>
        <v>0</v>
      </c>
      <c r="AG22" s="142">
        <f>Z22+AF22+AC22+W22</f>
        <v>0</v>
      </c>
      <c r="AH22" s="126">
        <f>AVERAGE(AG22:AG25)</f>
        <v>0</v>
      </c>
      <c r="AI22" s="99" t="s">
        <v>73</v>
      </c>
      <c r="AJ22" s="100" t="s">
        <v>74</v>
      </c>
    </row>
    <row r="23" spans="2:36" s="40" customFormat="1" ht="94.5" customHeight="1" thickBot="1" x14ac:dyDescent="0.25">
      <c r="B23" s="64">
        <v>13</v>
      </c>
      <c r="C23" s="83" t="s">
        <v>383</v>
      </c>
      <c r="D23" s="83" t="s">
        <v>150</v>
      </c>
      <c r="E23" s="83" t="s">
        <v>97</v>
      </c>
      <c r="F23" s="83" t="s">
        <v>362</v>
      </c>
      <c r="G23" s="83" t="s">
        <v>98</v>
      </c>
      <c r="H23" s="83" t="s">
        <v>390</v>
      </c>
      <c r="I23" s="83" t="s">
        <v>389</v>
      </c>
      <c r="J23" s="83" t="s">
        <v>99</v>
      </c>
      <c r="K23" s="83" t="s">
        <v>100</v>
      </c>
      <c r="L23" s="83" t="s">
        <v>57</v>
      </c>
      <c r="M23" s="83" t="s">
        <v>52</v>
      </c>
      <c r="N23" s="83">
        <v>1158</v>
      </c>
      <c r="O23" s="83" t="s">
        <v>91</v>
      </c>
      <c r="P23" s="102">
        <v>1300</v>
      </c>
      <c r="Q23" s="98" t="s">
        <v>81</v>
      </c>
      <c r="R23" s="83" t="s">
        <v>62</v>
      </c>
      <c r="S23" s="87">
        <v>46023</v>
      </c>
      <c r="T23" s="87">
        <v>46387</v>
      </c>
      <c r="U23" s="102">
        <v>0</v>
      </c>
      <c r="V23" s="101">
        <v>250</v>
      </c>
      <c r="W23" s="99">
        <f>(U23/$P$23)</f>
        <v>0</v>
      </c>
      <c r="X23" s="102">
        <v>0</v>
      </c>
      <c r="Y23" s="101">
        <v>450</v>
      </c>
      <c r="Z23" s="99">
        <f>(X23/$P$23)</f>
        <v>0</v>
      </c>
      <c r="AA23" s="102">
        <v>0</v>
      </c>
      <c r="AB23" s="101">
        <v>400</v>
      </c>
      <c r="AC23" s="99">
        <f>(AA23/$P$23)</f>
        <v>0</v>
      </c>
      <c r="AD23" s="102">
        <v>0</v>
      </c>
      <c r="AE23" s="101">
        <v>200</v>
      </c>
      <c r="AF23" s="99">
        <f>(AD23/$P$23)</f>
        <v>0</v>
      </c>
      <c r="AG23" s="142">
        <f t="shared" ref="AG23:AG37" si="1">+W23+Z23+AC23+AF23</f>
        <v>0</v>
      </c>
      <c r="AH23" s="127"/>
      <c r="AI23" s="99" t="s">
        <v>73</v>
      </c>
      <c r="AJ23" s="100" t="s">
        <v>74</v>
      </c>
    </row>
    <row r="24" spans="2:36" s="40" customFormat="1" ht="104.25" customHeight="1" thickBot="1" x14ac:dyDescent="0.25">
      <c r="B24" s="64">
        <v>14</v>
      </c>
      <c r="C24" s="83" t="s">
        <v>391</v>
      </c>
      <c r="D24" s="83" t="s">
        <v>85</v>
      </c>
      <c r="E24" s="83" t="s">
        <v>97</v>
      </c>
      <c r="F24" s="83" t="s">
        <v>363</v>
      </c>
      <c r="G24" s="83" t="s">
        <v>98</v>
      </c>
      <c r="H24" s="83" t="s">
        <v>101</v>
      </c>
      <c r="I24" s="83" t="s">
        <v>102</v>
      </c>
      <c r="J24" s="83" t="s">
        <v>103</v>
      </c>
      <c r="K24" s="83" t="s">
        <v>297</v>
      </c>
      <c r="L24" s="83" t="s">
        <v>51</v>
      </c>
      <c r="M24" s="83" t="s">
        <v>52</v>
      </c>
      <c r="N24" s="83" t="s">
        <v>54</v>
      </c>
      <c r="O24" s="83" t="s">
        <v>54</v>
      </c>
      <c r="P24" s="98">
        <v>1</v>
      </c>
      <c r="Q24" s="98">
        <v>0.25</v>
      </c>
      <c r="R24" s="83" t="s">
        <v>62</v>
      </c>
      <c r="S24" s="87">
        <v>46023</v>
      </c>
      <c r="T24" s="87">
        <v>46387</v>
      </c>
      <c r="U24" s="106">
        <v>0</v>
      </c>
      <c r="V24" s="106">
        <v>0</v>
      </c>
      <c r="W24" s="107">
        <f>IFERROR((U24/V24)*$Q$24,0)</f>
        <v>0</v>
      </c>
      <c r="X24" s="102">
        <v>0</v>
      </c>
      <c r="Y24" s="106">
        <v>0</v>
      </c>
      <c r="Z24" s="107">
        <f>IFERROR((X24/Y24)*$Q$24,0)</f>
        <v>0</v>
      </c>
      <c r="AA24" s="102">
        <v>0</v>
      </c>
      <c r="AB24" s="106">
        <v>0</v>
      </c>
      <c r="AC24" s="107">
        <f>IFERROR((AA24/AB24)*$Q$24,0)</f>
        <v>0</v>
      </c>
      <c r="AD24" s="102">
        <v>0</v>
      </c>
      <c r="AE24" s="106">
        <v>0</v>
      </c>
      <c r="AF24" s="107">
        <f>IFERROR((AD24/AE24)*$Q$24,0)</f>
        <v>0</v>
      </c>
      <c r="AG24" s="142">
        <f t="shared" si="1"/>
        <v>0</v>
      </c>
      <c r="AH24" s="127"/>
      <c r="AI24" s="99" t="s">
        <v>73</v>
      </c>
      <c r="AJ24" s="100" t="s">
        <v>74</v>
      </c>
    </row>
    <row r="25" spans="2:36" s="40" customFormat="1" ht="110.25" customHeight="1" thickBot="1" x14ac:dyDescent="0.25">
      <c r="B25" s="64">
        <v>15</v>
      </c>
      <c r="C25" s="83" t="s">
        <v>391</v>
      </c>
      <c r="D25" s="83" t="s">
        <v>85</v>
      </c>
      <c r="E25" s="83" t="s">
        <v>97</v>
      </c>
      <c r="F25" s="83" t="s">
        <v>364</v>
      </c>
      <c r="G25" s="83" t="s">
        <v>98</v>
      </c>
      <c r="H25" s="83" t="s">
        <v>104</v>
      </c>
      <c r="I25" s="83" t="s">
        <v>105</v>
      </c>
      <c r="J25" s="83" t="s">
        <v>106</v>
      </c>
      <c r="K25" s="83" t="s">
        <v>376</v>
      </c>
      <c r="L25" s="83" t="s">
        <v>51</v>
      </c>
      <c r="M25" s="83" t="s">
        <v>52</v>
      </c>
      <c r="N25" s="83" t="s">
        <v>54</v>
      </c>
      <c r="O25" s="83" t="s">
        <v>54</v>
      </c>
      <c r="P25" s="98">
        <v>1</v>
      </c>
      <c r="Q25" s="98">
        <v>0.25</v>
      </c>
      <c r="R25" s="83" t="s">
        <v>62</v>
      </c>
      <c r="S25" s="87">
        <v>46023</v>
      </c>
      <c r="T25" s="87">
        <v>46387</v>
      </c>
      <c r="U25" s="106">
        <v>0</v>
      </c>
      <c r="V25" s="106">
        <v>0</v>
      </c>
      <c r="W25" s="107">
        <f>IFERROR((U25/V25)*$Q$25,0)</f>
        <v>0</v>
      </c>
      <c r="X25" s="102">
        <v>0</v>
      </c>
      <c r="Y25" s="101">
        <v>0</v>
      </c>
      <c r="Z25" s="107">
        <f>IFERROR((X25/Y25)*$Q$25,0)</f>
        <v>0</v>
      </c>
      <c r="AA25" s="102">
        <v>0</v>
      </c>
      <c r="AB25" s="101">
        <v>0</v>
      </c>
      <c r="AC25" s="107">
        <f>IFERROR((AA25/AB25)*$Q$25,0)</f>
        <v>0</v>
      </c>
      <c r="AD25" s="102">
        <v>0</v>
      </c>
      <c r="AE25" s="101">
        <v>0</v>
      </c>
      <c r="AF25" s="107">
        <f>IFERROR((AD25/AE25)*$Q$25,0)</f>
        <v>0</v>
      </c>
      <c r="AG25" s="142">
        <f t="shared" si="1"/>
        <v>0</v>
      </c>
      <c r="AH25" s="129"/>
      <c r="AI25" s="99" t="s">
        <v>73</v>
      </c>
      <c r="AJ25" s="100" t="s">
        <v>74</v>
      </c>
    </row>
    <row r="26" spans="2:36" s="40" customFormat="1" ht="102.75" customHeight="1" thickBot="1" x14ac:dyDescent="0.25">
      <c r="B26" s="64">
        <v>16</v>
      </c>
      <c r="C26" s="83" t="s">
        <v>383</v>
      </c>
      <c r="D26" s="83" t="s">
        <v>150</v>
      </c>
      <c r="E26" s="83" t="s">
        <v>97</v>
      </c>
      <c r="F26" s="83" t="s">
        <v>365</v>
      </c>
      <c r="G26" s="83" t="s">
        <v>107</v>
      </c>
      <c r="H26" s="83" t="s">
        <v>256</v>
      </c>
      <c r="I26" s="83" t="s">
        <v>108</v>
      </c>
      <c r="J26" s="83" t="s">
        <v>109</v>
      </c>
      <c r="K26" s="83" t="s">
        <v>110</v>
      </c>
      <c r="L26" s="83" t="s">
        <v>51</v>
      </c>
      <c r="M26" s="83" t="s">
        <v>111</v>
      </c>
      <c r="N26" s="108">
        <v>0.32900000000000001</v>
      </c>
      <c r="O26" s="83" t="s">
        <v>112</v>
      </c>
      <c r="P26" s="109" t="s">
        <v>375</v>
      </c>
      <c r="Q26" s="98">
        <v>0.25</v>
      </c>
      <c r="R26" s="83" t="s">
        <v>62</v>
      </c>
      <c r="S26" s="87">
        <v>46023</v>
      </c>
      <c r="T26" s="110">
        <v>46387</v>
      </c>
      <c r="U26" s="111">
        <v>0</v>
      </c>
      <c r="V26" s="97">
        <v>0.32</v>
      </c>
      <c r="W26" s="99" t="str">
        <f>IF(OR(U26=0, V26=0), "0", IF(U26&lt;=V26, $Q$26, MAX(0, $Q$26 * (1 - ((U26 - V26) / V26)))))</f>
        <v>0</v>
      </c>
      <c r="X26" s="112">
        <v>0</v>
      </c>
      <c r="Y26" s="97">
        <v>0.31</v>
      </c>
      <c r="Z26" s="99" t="str">
        <f>IF(OR(X26=0, Y26=0), "0", IF(X26&lt;=Y26, $Q$26, MAX(0, $Q$26 * (1 - ((X26 - Y26) / Y26)))))</f>
        <v>0</v>
      </c>
      <c r="AA26" s="113">
        <v>0</v>
      </c>
      <c r="AB26" s="97">
        <v>0.31</v>
      </c>
      <c r="AC26" s="99" t="str">
        <f>IF(OR(AA26=0, AB26=0), "0", IF(AA26&lt;=AB26, $Q$26, MAX(0, $Q$26 * (1 - ((AA26 - AB26) / AB26)))))</f>
        <v>0</v>
      </c>
      <c r="AD26" s="97">
        <v>0</v>
      </c>
      <c r="AE26" s="97">
        <v>0.3</v>
      </c>
      <c r="AF26" s="99" t="str">
        <f>IF(OR(AD26=0, AE26=0), "0", IF(AD26&lt;=AE26, $Q$26, MAX(0, $Q$26 * (1 - ((AD26 - AE26) / AE26)))))</f>
        <v>0</v>
      </c>
      <c r="AG26" s="142">
        <f>AF26+AC26+Z26+W26</f>
        <v>0</v>
      </c>
      <c r="AH26" s="126">
        <f>AVERAGE(AG26:AG29)</f>
        <v>0</v>
      </c>
      <c r="AI26" s="99" t="s">
        <v>73</v>
      </c>
      <c r="AJ26" s="100" t="s">
        <v>74</v>
      </c>
    </row>
    <row r="27" spans="2:36" s="40" customFormat="1" ht="94.5" customHeight="1" thickBot="1" x14ac:dyDescent="0.25">
      <c r="B27" s="64">
        <v>17</v>
      </c>
      <c r="C27" s="83" t="s">
        <v>84</v>
      </c>
      <c r="D27" s="83" t="s">
        <v>85</v>
      </c>
      <c r="E27" s="83" t="s">
        <v>97</v>
      </c>
      <c r="F27" s="83" t="s">
        <v>366</v>
      </c>
      <c r="G27" s="83" t="s">
        <v>113</v>
      </c>
      <c r="H27" s="83" t="s">
        <v>298</v>
      </c>
      <c r="I27" s="83" t="s">
        <v>299</v>
      </c>
      <c r="J27" s="83" t="s">
        <v>300</v>
      </c>
      <c r="K27" s="83" t="s">
        <v>301</v>
      </c>
      <c r="L27" s="83" t="s">
        <v>51</v>
      </c>
      <c r="M27" s="83" t="s">
        <v>111</v>
      </c>
      <c r="N27" s="83" t="s">
        <v>393</v>
      </c>
      <c r="O27" s="83" t="s">
        <v>112</v>
      </c>
      <c r="P27" s="94" t="s">
        <v>394</v>
      </c>
      <c r="Q27" s="98">
        <v>0.25</v>
      </c>
      <c r="R27" s="83" t="s">
        <v>62</v>
      </c>
      <c r="S27" s="87">
        <v>46023</v>
      </c>
      <c r="T27" s="110">
        <v>46387</v>
      </c>
      <c r="U27" s="111">
        <v>0</v>
      </c>
      <c r="V27" s="97">
        <v>0.96</v>
      </c>
      <c r="W27" s="99">
        <f>IF(U27&gt;=V27, Q27, Q27 * (U27 / V27))</f>
        <v>0</v>
      </c>
      <c r="X27" s="114">
        <v>0</v>
      </c>
      <c r="Y27" s="97">
        <v>0.96</v>
      </c>
      <c r="Z27" s="99">
        <f>IF(X27&gt;=Y27, Q27, Q27 * (X27 / Y27))</f>
        <v>0</v>
      </c>
      <c r="AA27" s="114">
        <v>0</v>
      </c>
      <c r="AB27" s="115">
        <v>0.96</v>
      </c>
      <c r="AC27" s="99">
        <f>IF(AA27&gt;=AB27, Q27, Q27 * (AA27 / AB27))</f>
        <v>0</v>
      </c>
      <c r="AD27" s="102">
        <v>0</v>
      </c>
      <c r="AE27" s="115">
        <v>0.96</v>
      </c>
      <c r="AF27" s="99">
        <f>IFERROR((AD27/AE27)*$Q$27, 0)</f>
        <v>0</v>
      </c>
      <c r="AG27" s="142">
        <f t="shared" si="1"/>
        <v>0</v>
      </c>
      <c r="AH27" s="127"/>
      <c r="AI27" s="99" t="s">
        <v>73</v>
      </c>
      <c r="AJ27" s="100" t="s">
        <v>74</v>
      </c>
    </row>
    <row r="28" spans="2:36" s="40" customFormat="1" ht="90.75" customHeight="1" thickBot="1" x14ac:dyDescent="0.25">
      <c r="B28" s="64">
        <v>18</v>
      </c>
      <c r="C28" s="83" t="s">
        <v>84</v>
      </c>
      <c r="D28" s="83" t="s">
        <v>85</v>
      </c>
      <c r="E28" s="83" t="s">
        <v>97</v>
      </c>
      <c r="F28" s="83" t="s">
        <v>366</v>
      </c>
      <c r="G28" s="83" t="s">
        <v>113</v>
      </c>
      <c r="H28" s="83" t="s">
        <v>114</v>
      </c>
      <c r="I28" s="83" t="s">
        <v>115</v>
      </c>
      <c r="J28" s="83" t="s">
        <v>116</v>
      </c>
      <c r="K28" s="83" t="s">
        <v>371</v>
      </c>
      <c r="L28" s="83" t="s">
        <v>51</v>
      </c>
      <c r="M28" s="83" t="s">
        <v>111</v>
      </c>
      <c r="N28" s="116">
        <v>1.7000000000000001E-2</v>
      </c>
      <c r="O28" s="83" t="s">
        <v>112</v>
      </c>
      <c r="P28" s="109" t="s">
        <v>438</v>
      </c>
      <c r="Q28" s="98">
        <v>0.25</v>
      </c>
      <c r="R28" s="83" t="s">
        <v>62</v>
      </c>
      <c r="S28" s="87">
        <v>46023</v>
      </c>
      <c r="T28" s="110">
        <v>46387</v>
      </c>
      <c r="U28" s="117">
        <v>0</v>
      </c>
      <c r="V28" s="97">
        <v>0.02</v>
      </c>
      <c r="W28" s="99">
        <f>IF(OR(U28="",U28=0),0,IF(U28&lt;=V28,$Q$28,MAX(0,$Q$28*(1-((U28-V28)/V28)))))</f>
        <v>0</v>
      </c>
      <c r="X28" s="117">
        <v>0</v>
      </c>
      <c r="Y28" s="97">
        <v>0.02</v>
      </c>
      <c r="Z28" s="99">
        <f>IF(OR(X28="",X28=0),0,IF(X28&lt;=Y28,$Q$28,MAX(0,$Q$28*(1-((X28-Y28)/Y28)))))</f>
        <v>0</v>
      </c>
      <c r="AA28" s="118">
        <v>0</v>
      </c>
      <c r="AB28" s="97">
        <v>0.02</v>
      </c>
      <c r="AC28" s="99">
        <f>IF(OR(AA28="",AA28=0),0,IF(AA28&lt;=AB28,$Q$28,MAX(0,$Q$28*(1-((AA28-AB28)/AB28)))))</f>
        <v>0</v>
      </c>
      <c r="AD28" s="118">
        <v>0</v>
      </c>
      <c r="AE28" s="97">
        <v>0.02</v>
      </c>
      <c r="AF28" s="99">
        <f>IF(OR(AD28="",AD28=0),0,IF(AD28&lt;=AE28,$Q$28,MAX(0,$Q$28*(1-((AD28-AE28)/AE28)))))</f>
        <v>0</v>
      </c>
      <c r="AG28" s="142">
        <f t="shared" si="1"/>
        <v>0</v>
      </c>
      <c r="AH28" s="127"/>
      <c r="AI28" s="99" t="s">
        <v>73</v>
      </c>
      <c r="AJ28" s="100" t="s">
        <v>74</v>
      </c>
    </row>
    <row r="29" spans="2:36" s="40" customFormat="1" ht="84.75" customHeight="1" thickBot="1" x14ac:dyDescent="0.25">
      <c r="B29" s="64">
        <v>19</v>
      </c>
      <c r="C29" s="83" t="s">
        <v>84</v>
      </c>
      <c r="D29" s="83" t="s">
        <v>85</v>
      </c>
      <c r="E29" s="83" t="s">
        <v>97</v>
      </c>
      <c r="F29" s="83" t="s">
        <v>366</v>
      </c>
      <c r="G29" s="83" t="s">
        <v>113</v>
      </c>
      <c r="H29" s="83" t="s">
        <v>117</v>
      </c>
      <c r="I29" s="83" t="s">
        <v>118</v>
      </c>
      <c r="J29" s="83" t="s">
        <v>119</v>
      </c>
      <c r="K29" s="83" t="s">
        <v>372</v>
      </c>
      <c r="L29" s="83" t="s">
        <v>51</v>
      </c>
      <c r="M29" s="83" t="s">
        <v>111</v>
      </c>
      <c r="N29" s="116">
        <v>2.3E-2</v>
      </c>
      <c r="O29" s="83" t="s">
        <v>112</v>
      </c>
      <c r="P29" s="109" t="s">
        <v>438</v>
      </c>
      <c r="Q29" s="98">
        <v>0.25</v>
      </c>
      <c r="R29" s="83" t="s">
        <v>62</v>
      </c>
      <c r="S29" s="87">
        <v>46023</v>
      </c>
      <c r="T29" s="110">
        <v>46387</v>
      </c>
      <c r="U29" s="117">
        <v>0</v>
      </c>
      <c r="V29" s="97">
        <v>0.02</v>
      </c>
      <c r="W29" s="99">
        <f>IF(OR(U29="",U29=0),0,IF(U29&lt;=V29,$Q$29,MAX(0,$Q$29*(1-((U29-V29)/V29)))))</f>
        <v>0</v>
      </c>
      <c r="X29" s="117">
        <v>0</v>
      </c>
      <c r="Y29" s="97">
        <v>0.02</v>
      </c>
      <c r="Z29" s="99">
        <f>IF(OR(X29="",X29=0),0,IF(X29&lt;=Y29,$Q$29,MAX(0,$Q$29*(1-((X29-Y29)/Y29)))))</f>
        <v>0</v>
      </c>
      <c r="AA29" s="113">
        <v>0</v>
      </c>
      <c r="AB29" s="97">
        <v>0.02</v>
      </c>
      <c r="AC29" s="99">
        <f>IF(OR(AA29="",AA29=0),0,IF(AA29&lt;=AB29,$Q$29,MAX(0,$Q$29*(1-((AA29-AB29)/AB29)))))</f>
        <v>0</v>
      </c>
      <c r="AD29" s="97">
        <v>0</v>
      </c>
      <c r="AE29" s="97">
        <v>0.02</v>
      </c>
      <c r="AF29" s="99">
        <f>IF(OR(AD29="",AD29=0),0,IF(AD29&lt;=AE29,$Q$29,MAX(0,$Q$29*(1-((AD29-AE29)/AE29)))))</f>
        <v>0</v>
      </c>
      <c r="AG29" s="142">
        <f t="shared" si="1"/>
        <v>0</v>
      </c>
      <c r="AH29" s="129"/>
      <c r="AI29" s="99" t="s">
        <v>73</v>
      </c>
      <c r="AJ29" s="100" t="s">
        <v>74</v>
      </c>
    </row>
    <row r="30" spans="2:36" s="38" customFormat="1" ht="74.25" customHeight="1" thickBot="1" x14ac:dyDescent="0.25">
      <c r="B30" s="64">
        <v>20</v>
      </c>
      <c r="C30" s="83" t="s">
        <v>395</v>
      </c>
      <c r="D30" s="83" t="s">
        <v>120</v>
      </c>
      <c r="E30" s="83" t="s">
        <v>121</v>
      </c>
      <c r="F30" s="84" t="s">
        <v>122</v>
      </c>
      <c r="G30" s="84" t="s">
        <v>398</v>
      </c>
      <c r="H30" s="84" t="s">
        <v>397</v>
      </c>
      <c r="I30" s="84" t="s">
        <v>346</v>
      </c>
      <c r="J30" s="84" t="s">
        <v>347</v>
      </c>
      <c r="K30" s="84" t="s">
        <v>348</v>
      </c>
      <c r="L30" s="84" t="s">
        <v>51</v>
      </c>
      <c r="M30" s="84" t="s">
        <v>61</v>
      </c>
      <c r="N30" s="84" t="s">
        <v>54</v>
      </c>
      <c r="O30" s="84" t="s">
        <v>349</v>
      </c>
      <c r="P30" s="94" t="s">
        <v>317</v>
      </c>
      <c r="Q30" s="86">
        <v>0.25</v>
      </c>
      <c r="R30" s="84" t="s">
        <v>62</v>
      </c>
      <c r="S30" s="87">
        <v>46023</v>
      </c>
      <c r="T30" s="110">
        <v>46387</v>
      </c>
      <c r="U30" s="94">
        <v>0</v>
      </c>
      <c r="V30" s="88">
        <v>0</v>
      </c>
      <c r="W30" s="89">
        <f>IFERROR((U30/V30)*$Q$30,0)</f>
        <v>0</v>
      </c>
      <c r="X30" s="94">
        <v>0</v>
      </c>
      <c r="Y30" s="88">
        <v>0</v>
      </c>
      <c r="Z30" s="89">
        <f>IFERROR((X30/Y30)*$Q$30,0)</f>
        <v>0</v>
      </c>
      <c r="AA30" s="94">
        <v>0</v>
      </c>
      <c r="AB30" s="88">
        <v>0</v>
      </c>
      <c r="AC30" s="89">
        <f>IFERROR((AA30/AB30)*$Q$30,0)</f>
        <v>0</v>
      </c>
      <c r="AD30" s="94">
        <v>0</v>
      </c>
      <c r="AE30" s="88">
        <v>0</v>
      </c>
      <c r="AF30" s="89">
        <f>IFERROR((AD30/AE30)*$Q$30,0)</f>
        <v>0</v>
      </c>
      <c r="AG30" s="141">
        <f t="shared" si="1"/>
        <v>0</v>
      </c>
      <c r="AH30" s="103">
        <f>+(AG30+AG31+AG32)/3</f>
        <v>0</v>
      </c>
      <c r="AI30" s="89" t="s">
        <v>123</v>
      </c>
      <c r="AJ30" s="95" t="s">
        <v>124</v>
      </c>
    </row>
    <row r="31" spans="2:36" s="38" customFormat="1" ht="83.25" customHeight="1" thickBot="1" x14ac:dyDescent="0.25">
      <c r="B31" s="64">
        <v>21</v>
      </c>
      <c r="C31" s="83" t="s">
        <v>395</v>
      </c>
      <c r="D31" s="83" t="s">
        <v>120</v>
      </c>
      <c r="E31" s="83" t="s">
        <v>121</v>
      </c>
      <c r="F31" s="84" t="s">
        <v>408</v>
      </c>
      <c r="G31" s="84" t="s">
        <v>409</v>
      </c>
      <c r="H31" s="84" t="s">
        <v>343</v>
      </c>
      <c r="I31" s="84" t="s">
        <v>344</v>
      </c>
      <c r="J31" s="84" t="s">
        <v>345</v>
      </c>
      <c r="K31" s="84" t="s">
        <v>396</v>
      </c>
      <c r="L31" s="84" t="s">
        <v>57</v>
      </c>
      <c r="M31" s="84" t="s">
        <v>61</v>
      </c>
      <c r="N31" s="84">
        <v>3</v>
      </c>
      <c r="O31" s="84" t="s">
        <v>125</v>
      </c>
      <c r="P31" s="119">
        <v>1</v>
      </c>
      <c r="Q31" s="86">
        <v>0.25</v>
      </c>
      <c r="R31" s="84" t="s">
        <v>135</v>
      </c>
      <c r="S31" s="87">
        <v>46023</v>
      </c>
      <c r="T31" s="110">
        <v>46387</v>
      </c>
      <c r="U31" s="94">
        <v>0</v>
      </c>
      <c r="V31" s="88">
        <v>0</v>
      </c>
      <c r="W31" s="89">
        <f>IFERROR((U31/V31)*$Q$31,0)</f>
        <v>0</v>
      </c>
      <c r="X31" s="94">
        <v>0</v>
      </c>
      <c r="Y31" s="88">
        <v>0</v>
      </c>
      <c r="Z31" s="89">
        <f>IFERROR((X31/Y31)*$Q$31,0)</f>
        <v>0</v>
      </c>
      <c r="AA31" s="94">
        <v>0</v>
      </c>
      <c r="AB31" s="88">
        <v>0</v>
      </c>
      <c r="AC31" s="89">
        <f>IFERROR((AA31/AB31)*$Q$31,0)</f>
        <v>0</v>
      </c>
      <c r="AD31" s="94">
        <v>0</v>
      </c>
      <c r="AE31" s="88">
        <v>0</v>
      </c>
      <c r="AF31" s="89">
        <f>IFERROR((AD31/AE31)*$Q$31,0)</f>
        <v>0</v>
      </c>
      <c r="AG31" s="141">
        <f>+W31+Z31+AC31+AF31</f>
        <v>0</v>
      </c>
      <c r="AH31" s="103"/>
      <c r="AI31" s="89" t="s">
        <v>401</v>
      </c>
      <c r="AJ31" s="95" t="s">
        <v>402</v>
      </c>
    </row>
    <row r="32" spans="2:36" s="38" customFormat="1" ht="67.5" customHeight="1" thickBot="1" x14ac:dyDescent="0.25">
      <c r="B32" s="64">
        <v>22</v>
      </c>
      <c r="C32" s="83" t="s">
        <v>395</v>
      </c>
      <c r="D32" s="83" t="s">
        <v>120</v>
      </c>
      <c r="E32" s="83" t="s">
        <v>121</v>
      </c>
      <c r="F32" s="84" t="s">
        <v>122</v>
      </c>
      <c r="G32" s="84" t="s">
        <v>399</v>
      </c>
      <c r="H32" s="84" t="s">
        <v>126</v>
      </c>
      <c r="I32" s="84" t="s">
        <v>127</v>
      </c>
      <c r="J32" s="84" t="s">
        <v>128</v>
      </c>
      <c r="K32" s="84" t="s">
        <v>400</v>
      </c>
      <c r="L32" s="84" t="s">
        <v>51</v>
      </c>
      <c r="M32" s="84" t="s">
        <v>61</v>
      </c>
      <c r="N32" s="84" t="s">
        <v>54</v>
      </c>
      <c r="O32" s="84" t="s">
        <v>54</v>
      </c>
      <c r="P32" s="94" t="s">
        <v>317</v>
      </c>
      <c r="Q32" s="86">
        <v>0.25</v>
      </c>
      <c r="R32" s="84" t="s">
        <v>135</v>
      </c>
      <c r="S32" s="87">
        <v>46023</v>
      </c>
      <c r="T32" s="110">
        <v>46387</v>
      </c>
      <c r="U32" s="94">
        <v>0</v>
      </c>
      <c r="V32" s="88">
        <v>0</v>
      </c>
      <c r="W32" s="89">
        <f>IFERROR((U32/V32)*$Q$32,0)</f>
        <v>0</v>
      </c>
      <c r="X32" s="94">
        <v>0</v>
      </c>
      <c r="Y32" s="88">
        <v>0</v>
      </c>
      <c r="Z32" s="89">
        <f>IFERROR((X32/Y32)*$Q$32,0)</f>
        <v>0</v>
      </c>
      <c r="AA32" s="94">
        <v>0</v>
      </c>
      <c r="AB32" s="88">
        <v>0</v>
      </c>
      <c r="AC32" s="89">
        <f>IFERROR((AA32/AB32)*$Q$32,0)</f>
        <v>0</v>
      </c>
      <c r="AD32" s="94">
        <v>0</v>
      </c>
      <c r="AE32" s="88">
        <v>0</v>
      </c>
      <c r="AF32" s="89">
        <f>IFERROR((AD32/AE32)*$Q$32,0)</f>
        <v>0</v>
      </c>
      <c r="AG32" s="141">
        <f t="shared" si="1"/>
        <v>0</v>
      </c>
      <c r="AH32" s="103"/>
      <c r="AI32" s="89" t="s">
        <v>123</v>
      </c>
      <c r="AJ32" s="95" t="s">
        <v>124</v>
      </c>
    </row>
    <row r="33" spans="2:36" s="38" customFormat="1" ht="95.25" customHeight="1" thickBot="1" x14ac:dyDescent="0.25">
      <c r="B33" s="64">
        <v>23</v>
      </c>
      <c r="C33" s="83" t="s">
        <v>404</v>
      </c>
      <c r="D33" s="83" t="s">
        <v>45</v>
      </c>
      <c r="E33" s="83" t="s">
        <v>129</v>
      </c>
      <c r="F33" s="84" t="s">
        <v>130</v>
      </c>
      <c r="G33" s="84" t="s">
        <v>131</v>
      </c>
      <c r="H33" s="84" t="s">
        <v>132</v>
      </c>
      <c r="I33" s="84" t="s">
        <v>133</v>
      </c>
      <c r="J33" s="84" t="s">
        <v>134</v>
      </c>
      <c r="K33" s="84" t="s">
        <v>312</v>
      </c>
      <c r="L33" s="84" t="s">
        <v>57</v>
      </c>
      <c r="M33" s="84" t="s">
        <v>61</v>
      </c>
      <c r="N33" s="84" t="s">
        <v>54</v>
      </c>
      <c r="O33" s="84" t="s">
        <v>54</v>
      </c>
      <c r="P33" s="119">
        <v>0.95</v>
      </c>
      <c r="Q33" s="86" t="s">
        <v>81</v>
      </c>
      <c r="R33" s="84" t="s">
        <v>135</v>
      </c>
      <c r="S33" s="87">
        <v>46023</v>
      </c>
      <c r="T33" s="110">
        <v>46387</v>
      </c>
      <c r="U33" s="94">
        <v>0</v>
      </c>
      <c r="V33" s="88">
        <v>0</v>
      </c>
      <c r="W33" s="89">
        <f>IFERROR((U33/V33)*25%,0)</f>
        <v>0</v>
      </c>
      <c r="X33" s="94">
        <v>0</v>
      </c>
      <c r="Y33" s="88">
        <v>0</v>
      </c>
      <c r="Z33" s="89">
        <f>IFERROR((X33/Y33)*25%,0)</f>
        <v>0</v>
      </c>
      <c r="AA33" s="94">
        <v>0</v>
      </c>
      <c r="AB33" s="88">
        <v>0</v>
      </c>
      <c r="AC33" s="89">
        <f>IFERROR((AA33/AB33)*25%,0)</f>
        <v>0</v>
      </c>
      <c r="AD33" s="94">
        <v>0</v>
      </c>
      <c r="AE33" s="88">
        <v>0</v>
      </c>
      <c r="AF33" s="89">
        <f>IFERROR((AD33/AE33)*25%,0)</f>
        <v>0</v>
      </c>
      <c r="AG33" s="141">
        <f t="shared" si="1"/>
        <v>0</v>
      </c>
      <c r="AH33" s="103">
        <f>+(AG33+AG35+AG36+AG37+AG34)/5</f>
        <v>0</v>
      </c>
      <c r="AI33" s="89" t="s">
        <v>136</v>
      </c>
      <c r="AJ33" s="95" t="s">
        <v>137</v>
      </c>
    </row>
    <row r="34" spans="2:36" s="38" customFormat="1" ht="99" customHeight="1" thickBot="1" x14ac:dyDescent="0.25">
      <c r="B34" s="64">
        <v>24</v>
      </c>
      <c r="C34" s="83" t="s">
        <v>404</v>
      </c>
      <c r="D34" s="83" t="s">
        <v>45</v>
      </c>
      <c r="E34" s="83" t="s">
        <v>129</v>
      </c>
      <c r="F34" s="84" t="s">
        <v>130</v>
      </c>
      <c r="G34" s="84" t="s">
        <v>131</v>
      </c>
      <c r="H34" s="84" t="s">
        <v>138</v>
      </c>
      <c r="I34" s="84" t="s">
        <v>139</v>
      </c>
      <c r="J34" s="84" t="s">
        <v>140</v>
      </c>
      <c r="K34" s="84" t="s">
        <v>403</v>
      </c>
      <c r="L34" s="84" t="s">
        <v>57</v>
      </c>
      <c r="M34" s="84" t="s">
        <v>61</v>
      </c>
      <c r="N34" s="84" t="s">
        <v>54</v>
      </c>
      <c r="O34" s="84" t="s">
        <v>54</v>
      </c>
      <c r="P34" s="119">
        <v>0.95</v>
      </c>
      <c r="Q34" s="86">
        <v>0.25</v>
      </c>
      <c r="R34" s="84" t="s">
        <v>135</v>
      </c>
      <c r="S34" s="87">
        <v>46023</v>
      </c>
      <c r="T34" s="110">
        <v>46387</v>
      </c>
      <c r="U34" s="94">
        <v>0</v>
      </c>
      <c r="V34" s="88">
        <v>0</v>
      </c>
      <c r="W34" s="89">
        <f>IFERROR((U34/V34)*$Q$34,0)</f>
        <v>0</v>
      </c>
      <c r="X34" s="94">
        <v>0</v>
      </c>
      <c r="Y34" s="88">
        <v>0</v>
      </c>
      <c r="Z34" s="89">
        <f>IFERROR((X34/Y34)*$Q$34,0)</f>
        <v>0</v>
      </c>
      <c r="AA34" s="94">
        <v>0</v>
      </c>
      <c r="AB34" s="88">
        <v>0</v>
      </c>
      <c r="AC34" s="89">
        <f>IFERROR((AA34/AB34)*$Q$34,0)</f>
        <v>0</v>
      </c>
      <c r="AD34" s="94">
        <v>0</v>
      </c>
      <c r="AE34" s="88">
        <v>0</v>
      </c>
      <c r="AF34" s="89">
        <f>IFERROR((AD34/AE34)*$Q$34,0)</f>
        <v>0</v>
      </c>
      <c r="AG34" s="141">
        <f t="shared" si="1"/>
        <v>0</v>
      </c>
      <c r="AH34" s="103"/>
      <c r="AI34" s="89" t="s">
        <v>136</v>
      </c>
      <c r="AJ34" s="95" t="s">
        <v>137</v>
      </c>
    </row>
    <row r="35" spans="2:36" s="38" customFormat="1" ht="93.75" customHeight="1" thickBot="1" x14ac:dyDescent="0.25">
      <c r="B35" s="64">
        <v>25</v>
      </c>
      <c r="C35" s="83" t="s">
        <v>404</v>
      </c>
      <c r="D35" s="83" t="s">
        <v>45</v>
      </c>
      <c r="E35" s="83" t="s">
        <v>129</v>
      </c>
      <c r="F35" s="84" t="s">
        <v>130</v>
      </c>
      <c r="G35" s="84" t="s">
        <v>141</v>
      </c>
      <c r="H35" s="84" t="s">
        <v>405</v>
      </c>
      <c r="I35" s="84" t="s">
        <v>142</v>
      </c>
      <c r="J35" s="84" t="s">
        <v>143</v>
      </c>
      <c r="K35" s="84" t="s">
        <v>406</v>
      </c>
      <c r="L35" s="84" t="s">
        <v>57</v>
      </c>
      <c r="M35" s="84" t="s">
        <v>61</v>
      </c>
      <c r="N35" s="84" t="s">
        <v>54</v>
      </c>
      <c r="O35" s="84" t="s">
        <v>54</v>
      </c>
      <c r="P35" s="119">
        <v>0.95</v>
      </c>
      <c r="Q35" s="86">
        <v>0.25</v>
      </c>
      <c r="R35" s="84" t="s">
        <v>135</v>
      </c>
      <c r="S35" s="87">
        <v>46023</v>
      </c>
      <c r="T35" s="110">
        <v>46387</v>
      </c>
      <c r="U35" s="94">
        <v>0</v>
      </c>
      <c r="V35" s="88">
        <v>0</v>
      </c>
      <c r="W35" s="89">
        <f>IFERROR((U35/V35)*$Q$35,0)</f>
        <v>0</v>
      </c>
      <c r="X35" s="94">
        <v>0</v>
      </c>
      <c r="Y35" s="88">
        <v>0</v>
      </c>
      <c r="Z35" s="89">
        <f>IFERROR((X35/Y35)*$Q$35,0)</f>
        <v>0</v>
      </c>
      <c r="AA35" s="94">
        <v>0</v>
      </c>
      <c r="AB35" s="88">
        <v>0</v>
      </c>
      <c r="AC35" s="89">
        <f>IFERROR((AA35/AB35)*$Q$35,0)</f>
        <v>0</v>
      </c>
      <c r="AD35" s="94">
        <v>0</v>
      </c>
      <c r="AE35" s="88">
        <v>0</v>
      </c>
      <c r="AF35" s="89">
        <f>IFERROR((AD35/AE35)*$Q$35,0)</f>
        <v>0</v>
      </c>
      <c r="AG35" s="141">
        <f t="shared" si="1"/>
        <v>0</v>
      </c>
      <c r="AH35" s="103"/>
      <c r="AI35" s="89" t="s">
        <v>136</v>
      </c>
      <c r="AJ35" s="95" t="s">
        <v>137</v>
      </c>
    </row>
    <row r="36" spans="2:36" s="38" customFormat="1" ht="107.25" customHeight="1" thickBot="1" x14ac:dyDescent="0.25">
      <c r="B36" s="64">
        <v>26</v>
      </c>
      <c r="C36" s="83" t="s">
        <v>404</v>
      </c>
      <c r="D36" s="83" t="s">
        <v>45</v>
      </c>
      <c r="E36" s="83" t="s">
        <v>129</v>
      </c>
      <c r="F36" s="84" t="s">
        <v>130</v>
      </c>
      <c r="G36" s="84" t="s">
        <v>144</v>
      </c>
      <c r="H36" s="84" t="s">
        <v>145</v>
      </c>
      <c r="I36" s="84" t="s">
        <v>407</v>
      </c>
      <c r="J36" s="84" t="s">
        <v>146</v>
      </c>
      <c r="K36" s="84" t="s">
        <v>313</v>
      </c>
      <c r="L36" s="84" t="s">
        <v>57</v>
      </c>
      <c r="M36" s="84" t="s">
        <v>61</v>
      </c>
      <c r="N36" s="84" t="s">
        <v>54</v>
      </c>
      <c r="O36" s="84" t="s">
        <v>54</v>
      </c>
      <c r="P36" s="94" t="s">
        <v>317</v>
      </c>
      <c r="Q36" s="86">
        <v>0.25</v>
      </c>
      <c r="R36" s="84" t="s">
        <v>135</v>
      </c>
      <c r="S36" s="87">
        <v>46023</v>
      </c>
      <c r="T36" s="110">
        <v>46387</v>
      </c>
      <c r="U36" s="94">
        <v>0</v>
      </c>
      <c r="V36" s="88">
        <v>0</v>
      </c>
      <c r="W36" s="89">
        <f>IFERROR((U36/V36)*$Q$36,0)</f>
        <v>0</v>
      </c>
      <c r="X36" s="94">
        <v>0</v>
      </c>
      <c r="Y36" s="88">
        <v>0</v>
      </c>
      <c r="Z36" s="89">
        <f>IFERROR((X36/Y36)*$Q$36,0)</f>
        <v>0</v>
      </c>
      <c r="AA36" s="94">
        <v>0</v>
      </c>
      <c r="AB36" s="88">
        <v>0</v>
      </c>
      <c r="AC36" s="89">
        <f>IFERROR((AA36/AB36)*$Q$36,0)</f>
        <v>0</v>
      </c>
      <c r="AD36" s="94">
        <v>0</v>
      </c>
      <c r="AE36" s="88">
        <v>0</v>
      </c>
      <c r="AF36" s="89">
        <f>IFERROR((AD36/AE36)*$Q$36,0)</f>
        <v>0</v>
      </c>
      <c r="AG36" s="141">
        <f t="shared" si="1"/>
        <v>0</v>
      </c>
      <c r="AH36" s="103"/>
      <c r="AI36" s="89" t="s">
        <v>136</v>
      </c>
      <c r="AJ36" s="95" t="s">
        <v>137</v>
      </c>
    </row>
    <row r="37" spans="2:36" s="38" customFormat="1" ht="90" customHeight="1" thickBot="1" x14ac:dyDescent="0.25">
      <c r="B37" s="64">
        <v>27</v>
      </c>
      <c r="C37" s="83" t="s">
        <v>404</v>
      </c>
      <c r="D37" s="83" t="s">
        <v>45</v>
      </c>
      <c r="E37" s="83" t="s">
        <v>129</v>
      </c>
      <c r="F37" s="84" t="s">
        <v>147</v>
      </c>
      <c r="G37" s="84" t="s">
        <v>148</v>
      </c>
      <c r="H37" s="84" t="s">
        <v>149</v>
      </c>
      <c r="I37" s="84" t="s">
        <v>315</v>
      </c>
      <c r="J37" s="84" t="s">
        <v>316</v>
      </c>
      <c r="K37" s="84" t="s">
        <v>314</v>
      </c>
      <c r="L37" s="84" t="s">
        <v>57</v>
      </c>
      <c r="M37" s="84" t="s">
        <v>61</v>
      </c>
      <c r="N37" s="84" t="s">
        <v>54</v>
      </c>
      <c r="O37" s="84" t="s">
        <v>54</v>
      </c>
      <c r="P37" s="94" t="s">
        <v>317</v>
      </c>
      <c r="Q37" s="86">
        <v>0.25</v>
      </c>
      <c r="R37" s="84" t="s">
        <v>62</v>
      </c>
      <c r="S37" s="87">
        <v>46023</v>
      </c>
      <c r="T37" s="110">
        <v>46387</v>
      </c>
      <c r="U37" s="94">
        <v>0</v>
      </c>
      <c r="V37" s="88">
        <v>0</v>
      </c>
      <c r="W37" s="89">
        <f>IFERROR((U37/V37)*$Q$37,0)</f>
        <v>0</v>
      </c>
      <c r="X37" s="94">
        <v>0</v>
      </c>
      <c r="Y37" s="88">
        <v>0</v>
      </c>
      <c r="Z37" s="89">
        <f>IFERROR((X37/Y37)*$Q$37,0)</f>
        <v>0</v>
      </c>
      <c r="AA37" s="94">
        <v>0</v>
      </c>
      <c r="AB37" s="88">
        <v>0</v>
      </c>
      <c r="AC37" s="89">
        <f>IFERROR((AA37/AB37)*$Q$37,0)</f>
        <v>0</v>
      </c>
      <c r="AD37" s="94">
        <v>0</v>
      </c>
      <c r="AE37" s="88">
        <v>0</v>
      </c>
      <c r="AF37" s="89">
        <f>IFERROR((AD37/AE37)*$Q$37,0)</f>
        <v>0</v>
      </c>
      <c r="AG37" s="141">
        <f t="shared" si="1"/>
        <v>0</v>
      </c>
      <c r="AH37" s="103"/>
      <c r="AI37" s="89" t="s">
        <v>136</v>
      </c>
      <c r="AJ37" s="95" t="s">
        <v>137</v>
      </c>
    </row>
    <row r="38" spans="2:36" s="38" customFormat="1" ht="141.75" customHeight="1" thickBot="1" x14ac:dyDescent="0.25">
      <c r="B38" s="64">
        <v>28</v>
      </c>
      <c r="C38" s="83" t="s">
        <v>410</v>
      </c>
      <c r="D38" s="83" t="s">
        <v>150</v>
      </c>
      <c r="E38" s="83" t="s">
        <v>151</v>
      </c>
      <c r="F38" s="84" t="s">
        <v>152</v>
      </c>
      <c r="G38" s="84" t="s">
        <v>153</v>
      </c>
      <c r="H38" s="84" t="s">
        <v>330</v>
      </c>
      <c r="I38" s="84" t="s">
        <v>331</v>
      </c>
      <c r="J38" s="84" t="s">
        <v>332</v>
      </c>
      <c r="K38" s="84" t="s">
        <v>411</v>
      </c>
      <c r="L38" s="84" t="s">
        <v>57</v>
      </c>
      <c r="M38" s="84" t="s">
        <v>61</v>
      </c>
      <c r="N38" s="84" t="s">
        <v>154</v>
      </c>
      <c r="O38" s="84" t="s">
        <v>155</v>
      </c>
      <c r="P38" s="94" t="s">
        <v>317</v>
      </c>
      <c r="Q38" s="86">
        <v>0.25</v>
      </c>
      <c r="R38" s="84" t="s">
        <v>62</v>
      </c>
      <c r="S38" s="87">
        <v>46023</v>
      </c>
      <c r="T38" s="110">
        <v>46387</v>
      </c>
      <c r="U38" s="120">
        <v>0</v>
      </c>
      <c r="V38" s="120">
        <v>0</v>
      </c>
      <c r="W38" s="89">
        <f>IFERROR((U38/V38)*$Q$38,0)</f>
        <v>0</v>
      </c>
      <c r="X38" s="94">
        <v>0</v>
      </c>
      <c r="Y38" s="88">
        <v>0</v>
      </c>
      <c r="Z38" s="89">
        <f>IFERROR((X38/Y38)*$Q$38,0)</f>
        <v>0</v>
      </c>
      <c r="AA38" s="94">
        <v>0</v>
      </c>
      <c r="AB38" s="88">
        <v>0</v>
      </c>
      <c r="AC38" s="89">
        <f>IFERROR((AA38/AB38)*$Q$38,0)</f>
        <v>0</v>
      </c>
      <c r="AD38" s="94">
        <v>0</v>
      </c>
      <c r="AE38" s="88">
        <v>0</v>
      </c>
      <c r="AF38" s="89">
        <f>IFERROR((AD38/AE38)*$Q$38,0)</f>
        <v>0</v>
      </c>
      <c r="AG38" s="141">
        <f>+Z38+AC38+AF38+W38</f>
        <v>0</v>
      </c>
      <c r="AH38" s="103">
        <f>+(AG38+AG39+AG40+AG41+AG42+AG43)/6</f>
        <v>0</v>
      </c>
      <c r="AI38" s="89" t="s">
        <v>157</v>
      </c>
      <c r="AJ38" s="95" t="s">
        <v>158</v>
      </c>
    </row>
    <row r="39" spans="2:36" s="38" customFormat="1" ht="132" customHeight="1" thickBot="1" x14ac:dyDescent="0.25">
      <c r="B39" s="64">
        <v>29</v>
      </c>
      <c r="C39" s="83" t="s">
        <v>410</v>
      </c>
      <c r="D39" s="83" t="s">
        <v>150</v>
      </c>
      <c r="E39" s="83" t="s">
        <v>151</v>
      </c>
      <c r="F39" s="84" t="s">
        <v>333</v>
      </c>
      <c r="G39" s="84" t="s">
        <v>159</v>
      </c>
      <c r="H39" s="84" t="s">
        <v>160</v>
      </c>
      <c r="I39" s="84" t="s">
        <v>335</v>
      </c>
      <c r="J39" s="84" t="s">
        <v>334</v>
      </c>
      <c r="K39" s="84" t="s">
        <v>336</v>
      </c>
      <c r="L39" s="84" t="s">
        <v>57</v>
      </c>
      <c r="M39" s="84" t="s">
        <v>61</v>
      </c>
      <c r="N39" s="84">
        <v>2</v>
      </c>
      <c r="O39" s="84" t="s">
        <v>155</v>
      </c>
      <c r="P39" s="94">
        <v>2</v>
      </c>
      <c r="Q39" s="86">
        <v>0.5</v>
      </c>
      <c r="R39" s="84" t="s">
        <v>161</v>
      </c>
      <c r="S39" s="87">
        <v>46023</v>
      </c>
      <c r="T39" s="110">
        <v>46387</v>
      </c>
      <c r="U39" s="120" t="s">
        <v>156</v>
      </c>
      <c r="V39" s="121" t="s">
        <v>156</v>
      </c>
      <c r="W39" s="89" t="s">
        <v>54</v>
      </c>
      <c r="X39" s="94">
        <v>0</v>
      </c>
      <c r="Y39" s="88">
        <v>0</v>
      </c>
      <c r="Z39" s="89">
        <f>IFERROR((X39/Y39)*$Q$39,0)</f>
        <v>0</v>
      </c>
      <c r="AA39" s="120" t="s">
        <v>156</v>
      </c>
      <c r="AB39" s="121" t="s">
        <v>156</v>
      </c>
      <c r="AC39" s="89" t="s">
        <v>154</v>
      </c>
      <c r="AD39" s="94">
        <v>0</v>
      </c>
      <c r="AE39" s="88">
        <v>0</v>
      </c>
      <c r="AF39" s="89">
        <f>IFERROR((AD39/AE39)*$Q$39,0)</f>
        <v>0</v>
      </c>
      <c r="AG39" s="141">
        <f>+Z39+AF39</f>
        <v>0</v>
      </c>
      <c r="AH39" s="103"/>
      <c r="AI39" s="89" t="s">
        <v>157</v>
      </c>
      <c r="AJ39" s="95" t="s">
        <v>158</v>
      </c>
    </row>
    <row r="40" spans="2:36" s="38" customFormat="1" ht="111.75" customHeight="1" thickBot="1" x14ac:dyDescent="0.25">
      <c r="B40" s="64">
        <v>30</v>
      </c>
      <c r="C40" s="83" t="s">
        <v>410</v>
      </c>
      <c r="D40" s="83" t="s">
        <v>150</v>
      </c>
      <c r="E40" s="83" t="s">
        <v>151</v>
      </c>
      <c r="F40" s="84" t="s">
        <v>152</v>
      </c>
      <c r="G40" s="84" t="s">
        <v>153</v>
      </c>
      <c r="H40" s="84" t="s">
        <v>354</v>
      </c>
      <c r="I40" s="84" t="s">
        <v>355</v>
      </c>
      <c r="J40" s="84" t="s">
        <v>356</v>
      </c>
      <c r="K40" s="84" t="s">
        <v>357</v>
      </c>
      <c r="L40" s="84" t="s">
        <v>57</v>
      </c>
      <c r="M40" s="84" t="s">
        <v>61</v>
      </c>
      <c r="N40" s="84">
        <v>1</v>
      </c>
      <c r="O40" s="84" t="s">
        <v>162</v>
      </c>
      <c r="P40" s="94" t="s">
        <v>317</v>
      </c>
      <c r="Q40" s="86">
        <v>0.25</v>
      </c>
      <c r="R40" s="84" t="s">
        <v>62</v>
      </c>
      <c r="S40" s="87">
        <v>46023</v>
      </c>
      <c r="T40" s="110">
        <v>46387</v>
      </c>
      <c r="U40" s="94">
        <v>0</v>
      </c>
      <c r="V40" s="88">
        <v>0</v>
      </c>
      <c r="W40" s="89">
        <f>IFERROR((U40/V40)*$Q$40,0)</f>
        <v>0</v>
      </c>
      <c r="X40" s="94">
        <v>0</v>
      </c>
      <c r="Y40" s="88">
        <v>0</v>
      </c>
      <c r="Z40" s="89">
        <f>IFERROR((X40/Y40)*$Q$40,0)</f>
        <v>0</v>
      </c>
      <c r="AA40" s="94">
        <v>0</v>
      </c>
      <c r="AB40" s="88">
        <v>0</v>
      </c>
      <c r="AC40" s="89">
        <f>IFERROR((AA40/AB40)*$Q$40,0)</f>
        <v>0</v>
      </c>
      <c r="AD40" s="94">
        <v>0</v>
      </c>
      <c r="AE40" s="88">
        <v>0</v>
      </c>
      <c r="AF40" s="89">
        <f>IFERROR((AD40/AE40)*$Q$40,0)</f>
        <v>0</v>
      </c>
      <c r="AG40" s="141">
        <f>+W40+Z40+AC40+AF40</f>
        <v>0</v>
      </c>
      <c r="AH40" s="103"/>
      <c r="AI40" s="89" t="s">
        <v>157</v>
      </c>
      <c r="AJ40" s="95" t="s">
        <v>158</v>
      </c>
    </row>
    <row r="41" spans="2:36" s="38" customFormat="1" ht="157.5" customHeight="1" thickBot="1" x14ac:dyDescent="0.25">
      <c r="B41" s="64">
        <v>31</v>
      </c>
      <c r="C41" s="83" t="s">
        <v>410</v>
      </c>
      <c r="D41" s="83" t="s">
        <v>150</v>
      </c>
      <c r="E41" s="83" t="s">
        <v>151</v>
      </c>
      <c r="F41" s="84" t="s">
        <v>152</v>
      </c>
      <c r="G41" s="84" t="s">
        <v>163</v>
      </c>
      <c r="H41" s="84" t="s">
        <v>164</v>
      </c>
      <c r="I41" s="84" t="s">
        <v>165</v>
      </c>
      <c r="J41" s="84" t="s">
        <v>166</v>
      </c>
      <c r="K41" s="84" t="s">
        <v>337</v>
      </c>
      <c r="L41" s="84" t="s">
        <v>57</v>
      </c>
      <c r="M41" s="84" t="s">
        <v>61</v>
      </c>
      <c r="N41" s="84">
        <v>64</v>
      </c>
      <c r="O41" s="84" t="s">
        <v>167</v>
      </c>
      <c r="P41" s="94">
        <v>2</v>
      </c>
      <c r="Q41" s="86">
        <v>0.5</v>
      </c>
      <c r="R41" s="84" t="s">
        <v>161</v>
      </c>
      <c r="S41" s="87">
        <v>46023</v>
      </c>
      <c r="T41" s="110">
        <v>46387</v>
      </c>
      <c r="U41" s="94" t="s">
        <v>156</v>
      </c>
      <c r="V41" s="88" t="s">
        <v>156</v>
      </c>
      <c r="W41" s="89" t="s">
        <v>54</v>
      </c>
      <c r="X41" s="94">
        <v>0</v>
      </c>
      <c r="Y41" s="88">
        <v>64</v>
      </c>
      <c r="Z41" s="89">
        <f>IFERROR((X41/Y41)*$Q41,0)</f>
        <v>0</v>
      </c>
      <c r="AA41" s="94" t="s">
        <v>237</v>
      </c>
      <c r="AB41" s="88" t="s">
        <v>156</v>
      </c>
      <c r="AC41" s="89" t="s">
        <v>54</v>
      </c>
      <c r="AD41" s="94">
        <v>0</v>
      </c>
      <c r="AE41" s="88">
        <v>64</v>
      </c>
      <c r="AF41" s="89">
        <f>IFERROR((AD41/AE41)*$Q41,0)</f>
        <v>0</v>
      </c>
      <c r="AG41" s="141">
        <f>Z41+AF41</f>
        <v>0</v>
      </c>
      <c r="AH41" s="103"/>
      <c r="AI41" s="89" t="s">
        <v>157</v>
      </c>
      <c r="AJ41" s="95" t="s">
        <v>158</v>
      </c>
    </row>
    <row r="42" spans="2:36" s="38" customFormat="1" ht="153.75" customHeight="1" thickBot="1" x14ac:dyDescent="0.25">
      <c r="B42" s="64">
        <v>32</v>
      </c>
      <c r="C42" s="83" t="s">
        <v>410</v>
      </c>
      <c r="D42" s="83" t="s">
        <v>150</v>
      </c>
      <c r="E42" s="83" t="s">
        <v>151</v>
      </c>
      <c r="F42" s="84" t="s">
        <v>152</v>
      </c>
      <c r="G42" s="84" t="s">
        <v>163</v>
      </c>
      <c r="H42" s="84" t="s">
        <v>169</v>
      </c>
      <c r="I42" s="84" t="s">
        <v>168</v>
      </c>
      <c r="J42" s="84" t="s">
        <v>169</v>
      </c>
      <c r="K42" s="84" t="s">
        <v>338</v>
      </c>
      <c r="L42" s="84" t="s">
        <v>57</v>
      </c>
      <c r="M42" s="84" t="s">
        <v>61</v>
      </c>
      <c r="N42" s="84">
        <v>3</v>
      </c>
      <c r="O42" s="84" t="s">
        <v>170</v>
      </c>
      <c r="P42" s="94">
        <v>3</v>
      </c>
      <c r="Q42" s="86">
        <v>0.25</v>
      </c>
      <c r="R42" s="84" t="s">
        <v>62</v>
      </c>
      <c r="S42" s="87">
        <v>46023</v>
      </c>
      <c r="T42" s="110">
        <v>46387</v>
      </c>
      <c r="U42" s="94">
        <v>0</v>
      </c>
      <c r="V42" s="88">
        <v>0</v>
      </c>
      <c r="W42" s="89">
        <f>IFERROR((U42/V42)*$Q$42,0)</f>
        <v>0</v>
      </c>
      <c r="X42" s="94">
        <v>0</v>
      </c>
      <c r="Y42" s="88">
        <v>0</v>
      </c>
      <c r="Z42" s="89">
        <f>IFERROR((X42/Y42)*$Q$42,0)</f>
        <v>0</v>
      </c>
      <c r="AA42" s="94">
        <v>0</v>
      </c>
      <c r="AB42" s="88">
        <v>0</v>
      </c>
      <c r="AC42" s="89">
        <f>IFERROR((AA42/AB42)*$Q$42,0)</f>
        <v>0</v>
      </c>
      <c r="AD42" s="94">
        <v>0</v>
      </c>
      <c r="AE42" s="88">
        <v>0</v>
      </c>
      <c r="AF42" s="89">
        <f>IFERROR((AD42/AE42)*$Q$42,0)</f>
        <v>0</v>
      </c>
      <c r="AG42" s="141">
        <f t="shared" ref="AG42:AG48" si="2">+W42+Z42+AC42+AF42</f>
        <v>0</v>
      </c>
      <c r="AH42" s="103"/>
      <c r="AI42" s="89" t="s">
        <v>157</v>
      </c>
      <c r="AJ42" s="95" t="s">
        <v>158</v>
      </c>
    </row>
    <row r="43" spans="2:36" s="38" customFormat="1" ht="130.5" customHeight="1" thickBot="1" x14ac:dyDescent="0.25">
      <c r="B43" s="64">
        <v>33</v>
      </c>
      <c r="C43" s="83" t="s">
        <v>413</v>
      </c>
      <c r="D43" s="83" t="s">
        <v>412</v>
      </c>
      <c r="E43" s="83" t="s">
        <v>151</v>
      </c>
      <c r="F43" s="84" t="s">
        <v>152</v>
      </c>
      <c r="G43" s="84" t="s">
        <v>153</v>
      </c>
      <c r="H43" s="84" t="s">
        <v>339</v>
      </c>
      <c r="I43" s="84" t="s">
        <v>340</v>
      </c>
      <c r="J43" s="84" t="s">
        <v>341</v>
      </c>
      <c r="K43" s="84" t="s">
        <v>342</v>
      </c>
      <c r="L43" s="84" t="s">
        <v>57</v>
      </c>
      <c r="M43" s="84" t="s">
        <v>61</v>
      </c>
      <c r="N43" s="84" t="s">
        <v>54</v>
      </c>
      <c r="O43" s="84" t="s">
        <v>155</v>
      </c>
      <c r="P43" s="94" t="s">
        <v>317</v>
      </c>
      <c r="Q43" s="86">
        <v>0.25</v>
      </c>
      <c r="R43" s="84" t="s">
        <v>62</v>
      </c>
      <c r="S43" s="87">
        <v>46023</v>
      </c>
      <c r="T43" s="110">
        <v>46387</v>
      </c>
      <c r="U43" s="120">
        <v>0</v>
      </c>
      <c r="V43" s="121">
        <v>0</v>
      </c>
      <c r="W43" s="89">
        <f>IFERROR((U43/V43)*$Q$43,0)</f>
        <v>0</v>
      </c>
      <c r="X43" s="94">
        <v>0</v>
      </c>
      <c r="Y43" s="88">
        <v>0</v>
      </c>
      <c r="Z43" s="89">
        <f>IFERROR((X43/Y43)*$Q$43,0)</f>
        <v>0</v>
      </c>
      <c r="AA43" s="94">
        <v>0</v>
      </c>
      <c r="AB43" s="88">
        <v>0</v>
      </c>
      <c r="AC43" s="89">
        <f>IFERROR((AA43/AB43)*$Q$43,0)</f>
        <v>0</v>
      </c>
      <c r="AD43" s="94">
        <v>0</v>
      </c>
      <c r="AE43" s="88">
        <v>0</v>
      </c>
      <c r="AF43" s="89">
        <f>IFERROR((AD43/AE43)*$Q$43,0)</f>
        <v>0</v>
      </c>
      <c r="AG43" s="141">
        <f t="shared" si="2"/>
        <v>0</v>
      </c>
      <c r="AH43" s="103"/>
      <c r="AI43" s="89" t="s">
        <v>157</v>
      </c>
      <c r="AJ43" s="95" t="s">
        <v>158</v>
      </c>
    </row>
    <row r="44" spans="2:36" s="40" customFormat="1" ht="162.75" customHeight="1" thickBot="1" x14ac:dyDescent="0.25">
      <c r="B44" s="64">
        <v>34</v>
      </c>
      <c r="C44" s="83" t="s">
        <v>410</v>
      </c>
      <c r="D44" s="83" t="s">
        <v>171</v>
      </c>
      <c r="E44" s="83" t="s">
        <v>172</v>
      </c>
      <c r="F44" s="83" t="s">
        <v>173</v>
      </c>
      <c r="G44" s="83" t="s">
        <v>174</v>
      </c>
      <c r="H44" s="83" t="s">
        <v>175</v>
      </c>
      <c r="I44" s="83" t="s">
        <v>414</v>
      </c>
      <c r="J44" s="83" t="s">
        <v>176</v>
      </c>
      <c r="K44" s="83" t="s">
        <v>302</v>
      </c>
      <c r="L44" s="83" t="s">
        <v>57</v>
      </c>
      <c r="M44" s="83" t="s">
        <v>52</v>
      </c>
      <c r="N44" s="83">
        <v>10</v>
      </c>
      <c r="O44" s="83" t="s">
        <v>177</v>
      </c>
      <c r="P44" s="109">
        <v>19</v>
      </c>
      <c r="Q44" s="98" t="s">
        <v>81</v>
      </c>
      <c r="R44" s="83" t="s">
        <v>62</v>
      </c>
      <c r="S44" s="122">
        <v>46023</v>
      </c>
      <c r="T44" s="110">
        <v>46387</v>
      </c>
      <c r="U44" s="102">
        <v>0</v>
      </c>
      <c r="V44" s="101">
        <v>0</v>
      </c>
      <c r="W44" s="99">
        <f>+IFERROR((U44/V44)*(U44/$P$44),0)</f>
        <v>0</v>
      </c>
      <c r="X44" s="102">
        <v>0</v>
      </c>
      <c r="Y44" s="101">
        <v>0</v>
      </c>
      <c r="Z44" s="99">
        <f>+IFERROR((X44/Y44)*(X44/$P$44),0)</f>
        <v>0</v>
      </c>
      <c r="AA44" s="102">
        <v>0</v>
      </c>
      <c r="AB44" s="101">
        <v>0</v>
      </c>
      <c r="AC44" s="99">
        <f>+IFERROR((AA44/AB44)*(AA44/$P$44),0)</f>
        <v>0</v>
      </c>
      <c r="AD44" s="102">
        <v>0</v>
      </c>
      <c r="AE44" s="101">
        <v>0</v>
      </c>
      <c r="AF44" s="99">
        <f>+IFERROR((AD44/AE44)*(AD44/$P$44),0)</f>
        <v>0</v>
      </c>
      <c r="AG44" s="142">
        <f t="shared" si="2"/>
        <v>0</v>
      </c>
      <c r="AH44" s="145">
        <f>+(AG44+AG45+AG46+AG47+AG48+AG49+AG50)</f>
        <v>0</v>
      </c>
      <c r="AI44" s="99" t="s">
        <v>178</v>
      </c>
      <c r="AJ44" s="100" t="s">
        <v>179</v>
      </c>
    </row>
    <row r="45" spans="2:36" s="40" customFormat="1" ht="145.5" customHeight="1" thickBot="1" x14ac:dyDescent="0.25">
      <c r="B45" s="64">
        <v>35</v>
      </c>
      <c r="C45" s="83" t="s">
        <v>410</v>
      </c>
      <c r="D45" s="83" t="s">
        <v>171</v>
      </c>
      <c r="E45" s="83" t="s">
        <v>172</v>
      </c>
      <c r="F45" s="83" t="s">
        <v>173</v>
      </c>
      <c r="G45" s="83" t="s">
        <v>174</v>
      </c>
      <c r="H45" s="83" t="s">
        <v>180</v>
      </c>
      <c r="I45" s="83" t="s">
        <v>415</v>
      </c>
      <c r="J45" s="83" t="s">
        <v>181</v>
      </c>
      <c r="K45" s="83" t="s">
        <v>302</v>
      </c>
      <c r="L45" s="83" t="s">
        <v>51</v>
      </c>
      <c r="M45" s="83" t="s">
        <v>61</v>
      </c>
      <c r="N45" s="83">
        <v>29</v>
      </c>
      <c r="O45" s="83" t="s">
        <v>303</v>
      </c>
      <c r="P45" s="109">
        <v>58</v>
      </c>
      <c r="Q45" s="98" t="s">
        <v>81</v>
      </c>
      <c r="R45" s="83" t="s">
        <v>62</v>
      </c>
      <c r="S45" s="122">
        <v>46023</v>
      </c>
      <c r="T45" s="110">
        <v>46387</v>
      </c>
      <c r="U45" s="102">
        <v>0</v>
      </c>
      <c r="V45" s="101">
        <v>0</v>
      </c>
      <c r="W45" s="99">
        <f>+IFERROR((U45/V45)*(U45/$P$45),0)</f>
        <v>0</v>
      </c>
      <c r="X45" s="102">
        <v>0</v>
      </c>
      <c r="Y45" s="101">
        <v>0</v>
      </c>
      <c r="Z45" s="99">
        <f>+IFERROR((X45/Y45)*(X45/$P$45),0)</f>
        <v>0</v>
      </c>
      <c r="AA45" s="102">
        <v>0</v>
      </c>
      <c r="AB45" s="101">
        <v>0</v>
      </c>
      <c r="AC45" s="99">
        <f>+IFERROR((AA45/AB45)*(AA45/$P$45),0)</f>
        <v>0</v>
      </c>
      <c r="AD45" s="102">
        <v>0</v>
      </c>
      <c r="AE45" s="101">
        <v>0</v>
      </c>
      <c r="AF45" s="99">
        <f>+IFERROR((AD45/AE45)*(AD45/$P$45),0)</f>
        <v>0</v>
      </c>
      <c r="AG45" s="142">
        <f t="shared" si="2"/>
        <v>0</v>
      </c>
      <c r="AH45" s="145"/>
      <c r="AI45" s="99" t="s">
        <v>182</v>
      </c>
      <c r="AJ45" s="100" t="s">
        <v>179</v>
      </c>
    </row>
    <row r="46" spans="2:36" s="38" customFormat="1" ht="135.75" customHeight="1" thickBot="1" x14ac:dyDescent="0.25">
      <c r="B46" s="64">
        <v>36</v>
      </c>
      <c r="C46" s="83" t="s">
        <v>416</v>
      </c>
      <c r="D46" s="83" t="s">
        <v>304</v>
      </c>
      <c r="E46" s="83" t="s">
        <v>172</v>
      </c>
      <c r="F46" s="84" t="s">
        <v>183</v>
      </c>
      <c r="G46" s="84" t="s">
        <v>174</v>
      </c>
      <c r="H46" s="84" t="s">
        <v>417</v>
      </c>
      <c r="I46" s="84" t="s">
        <v>418</v>
      </c>
      <c r="J46" s="84" t="s">
        <v>184</v>
      </c>
      <c r="K46" s="84" t="s">
        <v>302</v>
      </c>
      <c r="L46" s="84" t="s">
        <v>51</v>
      </c>
      <c r="M46" s="84" t="s">
        <v>61</v>
      </c>
      <c r="N46" s="84">
        <v>34</v>
      </c>
      <c r="O46" s="84" t="s">
        <v>305</v>
      </c>
      <c r="P46" s="120">
        <v>34</v>
      </c>
      <c r="Q46" s="86" t="s">
        <v>81</v>
      </c>
      <c r="R46" s="84" t="s">
        <v>62</v>
      </c>
      <c r="S46" s="122">
        <v>46023</v>
      </c>
      <c r="T46" s="110">
        <v>46387</v>
      </c>
      <c r="U46" s="94">
        <v>0</v>
      </c>
      <c r="V46" s="88">
        <v>0</v>
      </c>
      <c r="W46" s="89">
        <f>+IFERROR((U46/V46)*(U46/$P$46),0)</f>
        <v>0</v>
      </c>
      <c r="X46" s="94">
        <v>0</v>
      </c>
      <c r="Y46" s="88">
        <v>0</v>
      </c>
      <c r="Z46" s="89">
        <f>+IFERROR((X46/Y46)*(X46/$P$46),0)</f>
        <v>0</v>
      </c>
      <c r="AA46" s="94">
        <v>0</v>
      </c>
      <c r="AB46" s="88">
        <v>0</v>
      </c>
      <c r="AC46" s="89">
        <f>+IFERROR((AA46/AB46)*(AA46/$P$46),0)</f>
        <v>0</v>
      </c>
      <c r="AD46" s="94">
        <v>0</v>
      </c>
      <c r="AE46" s="88">
        <v>0</v>
      </c>
      <c r="AF46" s="89">
        <f>+IFERROR((AD46/AE46)*(AD46/$P$46),0)</f>
        <v>0</v>
      </c>
      <c r="AG46" s="141">
        <f t="shared" si="2"/>
        <v>0</v>
      </c>
      <c r="AH46" s="145"/>
      <c r="AI46" s="89" t="s">
        <v>182</v>
      </c>
      <c r="AJ46" s="95" t="s">
        <v>179</v>
      </c>
    </row>
    <row r="47" spans="2:36" s="38" customFormat="1" ht="116.25" customHeight="1" thickBot="1" x14ac:dyDescent="0.25">
      <c r="B47" s="64">
        <v>37</v>
      </c>
      <c r="C47" s="83" t="s">
        <v>410</v>
      </c>
      <c r="D47" s="83" t="s">
        <v>171</v>
      </c>
      <c r="E47" s="83" t="s">
        <v>172</v>
      </c>
      <c r="F47" s="84" t="s">
        <v>185</v>
      </c>
      <c r="G47" s="84" t="s">
        <v>174</v>
      </c>
      <c r="H47" s="84" t="s">
        <v>186</v>
      </c>
      <c r="I47" s="84" t="s">
        <v>187</v>
      </c>
      <c r="J47" s="84" t="s">
        <v>188</v>
      </c>
      <c r="K47" s="84" t="s">
        <v>189</v>
      </c>
      <c r="L47" s="84" t="s">
        <v>51</v>
      </c>
      <c r="M47" s="84" t="s">
        <v>61</v>
      </c>
      <c r="N47" s="84">
        <v>1</v>
      </c>
      <c r="O47" s="84" t="s">
        <v>54</v>
      </c>
      <c r="P47" s="94">
        <v>0.9</v>
      </c>
      <c r="Q47" s="86">
        <v>0.25</v>
      </c>
      <c r="R47" s="84" t="s">
        <v>62</v>
      </c>
      <c r="S47" s="122">
        <v>46023</v>
      </c>
      <c r="T47" s="110">
        <v>46387</v>
      </c>
      <c r="U47" s="94">
        <v>0</v>
      </c>
      <c r="V47" s="88">
        <v>0</v>
      </c>
      <c r="W47" s="89">
        <f>IFERROR((U47/V47)*$Q$47,0)</f>
        <v>0</v>
      </c>
      <c r="X47" s="94">
        <v>0</v>
      </c>
      <c r="Y47" s="88">
        <v>0</v>
      </c>
      <c r="Z47" s="89">
        <f>IFERROR((X47/Y47)*$Q$47,0)</f>
        <v>0</v>
      </c>
      <c r="AA47" s="94">
        <v>0</v>
      </c>
      <c r="AB47" s="88">
        <v>0</v>
      </c>
      <c r="AC47" s="89">
        <f>IFERROR((AA47/AB47)*$Q$47,0)</f>
        <v>0</v>
      </c>
      <c r="AD47" s="94">
        <v>0</v>
      </c>
      <c r="AE47" s="88">
        <v>0</v>
      </c>
      <c r="AF47" s="89">
        <f>IFERROR((AD47/AE47)*$Q$47,0)</f>
        <v>0</v>
      </c>
      <c r="AG47" s="141">
        <f t="shared" si="2"/>
        <v>0</v>
      </c>
      <c r="AH47" s="145"/>
      <c r="AI47" s="89" t="s">
        <v>190</v>
      </c>
      <c r="AJ47" s="95" t="s">
        <v>191</v>
      </c>
    </row>
    <row r="48" spans="2:36" s="38" customFormat="1" ht="196.5" customHeight="1" thickBot="1" x14ac:dyDescent="0.25">
      <c r="B48" s="64">
        <v>38</v>
      </c>
      <c r="C48" s="83" t="s">
        <v>410</v>
      </c>
      <c r="D48" s="83" t="s">
        <v>171</v>
      </c>
      <c r="E48" s="83" t="s">
        <v>172</v>
      </c>
      <c r="F48" s="84" t="s">
        <v>192</v>
      </c>
      <c r="G48" s="84" t="s">
        <v>193</v>
      </c>
      <c r="H48" s="84" t="s">
        <v>194</v>
      </c>
      <c r="I48" s="84" t="s">
        <v>306</v>
      </c>
      <c r="J48" s="84" t="s">
        <v>195</v>
      </c>
      <c r="K48" s="84" t="s">
        <v>196</v>
      </c>
      <c r="L48" s="84" t="s">
        <v>51</v>
      </c>
      <c r="M48" s="84" t="s">
        <v>61</v>
      </c>
      <c r="N48" s="84">
        <v>1</v>
      </c>
      <c r="O48" s="84" t="s">
        <v>54</v>
      </c>
      <c r="P48" s="94">
        <v>1</v>
      </c>
      <c r="Q48" s="86">
        <v>0.25</v>
      </c>
      <c r="R48" s="84" t="s">
        <v>62</v>
      </c>
      <c r="S48" s="122">
        <v>46023</v>
      </c>
      <c r="T48" s="110">
        <v>46387</v>
      </c>
      <c r="U48" s="94">
        <v>0</v>
      </c>
      <c r="V48" s="88">
        <v>0</v>
      </c>
      <c r="W48" s="89">
        <f>IFERROR((U48/V48)*$Q$48,0)</f>
        <v>0</v>
      </c>
      <c r="X48" s="94">
        <v>0</v>
      </c>
      <c r="Y48" s="88">
        <v>0</v>
      </c>
      <c r="Z48" s="89">
        <f>IFERROR((X48/Y48)*$Q$48,0)</f>
        <v>0</v>
      </c>
      <c r="AA48" s="94">
        <v>0</v>
      </c>
      <c r="AB48" s="88">
        <v>0</v>
      </c>
      <c r="AC48" s="89">
        <f>IFERROR((AA48/AB48)*$Q$48,0)</f>
        <v>0</v>
      </c>
      <c r="AD48" s="94">
        <v>0</v>
      </c>
      <c r="AE48" s="88">
        <v>0</v>
      </c>
      <c r="AF48" s="89">
        <f>IFERROR((AD48/AE48)*$Q$48,0)</f>
        <v>0</v>
      </c>
      <c r="AG48" s="141">
        <f t="shared" si="2"/>
        <v>0</v>
      </c>
      <c r="AH48" s="145"/>
      <c r="AI48" s="89" t="s">
        <v>190</v>
      </c>
      <c r="AJ48" s="95" t="s">
        <v>191</v>
      </c>
    </row>
    <row r="49" spans="2:39" s="38" customFormat="1" ht="114" customHeight="1" thickBot="1" x14ac:dyDescent="0.25">
      <c r="B49" s="64">
        <v>39</v>
      </c>
      <c r="C49" s="83" t="s">
        <v>410</v>
      </c>
      <c r="D49" s="83" t="s">
        <v>171</v>
      </c>
      <c r="E49" s="83" t="s">
        <v>172</v>
      </c>
      <c r="F49" s="84" t="s">
        <v>197</v>
      </c>
      <c r="G49" s="84" t="s">
        <v>174</v>
      </c>
      <c r="H49" s="84" t="s">
        <v>308</v>
      </c>
      <c r="I49" s="84" t="s">
        <v>307</v>
      </c>
      <c r="J49" s="84" t="s">
        <v>377</v>
      </c>
      <c r="K49" s="84" t="s">
        <v>309</v>
      </c>
      <c r="L49" s="84" t="s">
        <v>57</v>
      </c>
      <c r="M49" s="84" t="s">
        <v>61</v>
      </c>
      <c r="N49" s="84">
        <v>2</v>
      </c>
      <c r="O49" s="84" t="s">
        <v>54</v>
      </c>
      <c r="P49" s="94">
        <v>2</v>
      </c>
      <c r="Q49" s="86">
        <v>0.5</v>
      </c>
      <c r="R49" s="84" t="s">
        <v>161</v>
      </c>
      <c r="S49" s="122">
        <v>46023</v>
      </c>
      <c r="T49" s="110">
        <v>46387</v>
      </c>
      <c r="U49" s="94">
        <v>0</v>
      </c>
      <c r="V49" s="88">
        <v>0</v>
      </c>
      <c r="W49" s="89">
        <f>IFERROR((U49/V49)*$Q$49,0)</f>
        <v>0</v>
      </c>
      <c r="X49" s="94" t="s">
        <v>237</v>
      </c>
      <c r="Y49" s="88" t="s">
        <v>237</v>
      </c>
      <c r="Z49" s="89" t="s">
        <v>54</v>
      </c>
      <c r="AA49" s="94">
        <v>0</v>
      </c>
      <c r="AB49" s="88">
        <v>0</v>
      </c>
      <c r="AC49" s="89">
        <f>IFERROR((AA49/AB49)*$Q$49,0)</f>
        <v>0</v>
      </c>
      <c r="AD49" s="94" t="s">
        <v>237</v>
      </c>
      <c r="AE49" s="88" t="s">
        <v>156</v>
      </c>
      <c r="AF49" s="89" t="s">
        <v>54</v>
      </c>
      <c r="AG49" s="141">
        <f>+W49+AC49</f>
        <v>0</v>
      </c>
      <c r="AH49" s="145"/>
      <c r="AI49" s="89" t="s">
        <v>178</v>
      </c>
      <c r="AJ49" s="95" t="s">
        <v>179</v>
      </c>
    </row>
    <row r="50" spans="2:39" s="38" customFormat="1" ht="98.25" customHeight="1" thickBot="1" x14ac:dyDescent="0.25">
      <c r="B50" s="64">
        <v>40</v>
      </c>
      <c r="C50" s="83" t="s">
        <v>410</v>
      </c>
      <c r="D50" s="83" t="s">
        <v>171</v>
      </c>
      <c r="E50" s="83" t="s">
        <v>172</v>
      </c>
      <c r="F50" s="84" t="s">
        <v>197</v>
      </c>
      <c r="G50" s="84" t="s">
        <v>174</v>
      </c>
      <c r="H50" s="84" t="s">
        <v>198</v>
      </c>
      <c r="I50" s="84" t="s">
        <v>310</v>
      </c>
      <c r="J50" s="84" t="s">
        <v>199</v>
      </c>
      <c r="K50" s="84" t="s">
        <v>311</v>
      </c>
      <c r="L50" s="84" t="s">
        <v>57</v>
      </c>
      <c r="M50" s="84" t="s">
        <v>61</v>
      </c>
      <c r="N50" s="84" t="s">
        <v>54</v>
      </c>
      <c r="O50" s="84" t="s">
        <v>54</v>
      </c>
      <c r="P50" s="94">
        <v>2</v>
      </c>
      <c r="Q50" s="86">
        <v>0.5</v>
      </c>
      <c r="R50" s="84" t="s">
        <v>161</v>
      </c>
      <c r="S50" s="122">
        <v>46023</v>
      </c>
      <c r="T50" s="110">
        <v>46387</v>
      </c>
      <c r="U50" s="85">
        <v>0</v>
      </c>
      <c r="V50" s="88">
        <v>0</v>
      </c>
      <c r="W50" s="89">
        <f>IFERROR((U50/V50)*$Q$50,0)</f>
        <v>0</v>
      </c>
      <c r="X50" s="94" t="s">
        <v>237</v>
      </c>
      <c r="Y50" s="88" t="s">
        <v>237</v>
      </c>
      <c r="Z50" s="89" t="s">
        <v>54</v>
      </c>
      <c r="AA50" s="94">
        <v>0</v>
      </c>
      <c r="AB50" s="88">
        <v>0</v>
      </c>
      <c r="AC50" s="89">
        <f>IFERROR((AA50/AB50)*$Q$50,0)</f>
        <v>0</v>
      </c>
      <c r="AD50" s="94" t="s">
        <v>156</v>
      </c>
      <c r="AE50" s="88" t="s">
        <v>156</v>
      </c>
      <c r="AF50" s="89" t="s">
        <v>54</v>
      </c>
      <c r="AG50" s="141">
        <f>W50+AC50</f>
        <v>0</v>
      </c>
      <c r="AH50" s="145"/>
      <c r="AI50" s="89" t="s">
        <v>178</v>
      </c>
      <c r="AJ50" s="95" t="s">
        <v>179</v>
      </c>
    </row>
    <row r="51" spans="2:39" s="38" customFormat="1" ht="168" customHeight="1" thickBot="1" x14ac:dyDescent="0.25">
      <c r="B51" s="64">
        <v>41</v>
      </c>
      <c r="C51" s="83" t="s">
        <v>419</v>
      </c>
      <c r="D51" s="83" t="s">
        <v>150</v>
      </c>
      <c r="E51" s="83" t="s">
        <v>201</v>
      </c>
      <c r="F51" s="84" t="s">
        <v>202</v>
      </c>
      <c r="G51" s="84" t="s">
        <v>203</v>
      </c>
      <c r="H51" s="84" t="s">
        <v>204</v>
      </c>
      <c r="I51" s="84" t="s">
        <v>420</v>
      </c>
      <c r="J51" s="84" t="s">
        <v>205</v>
      </c>
      <c r="K51" s="84" t="s">
        <v>323</v>
      </c>
      <c r="L51" s="84" t="s">
        <v>51</v>
      </c>
      <c r="M51" s="84" t="s">
        <v>79</v>
      </c>
      <c r="N51" s="84" t="s">
        <v>54</v>
      </c>
      <c r="O51" s="84" t="s">
        <v>54</v>
      </c>
      <c r="P51" s="123">
        <v>1</v>
      </c>
      <c r="Q51" s="86">
        <v>0.25</v>
      </c>
      <c r="R51" s="84" t="s">
        <v>62</v>
      </c>
      <c r="S51" s="122">
        <v>46023</v>
      </c>
      <c r="T51" s="110">
        <v>46387</v>
      </c>
      <c r="U51" s="124">
        <v>0</v>
      </c>
      <c r="V51" s="124">
        <v>0</v>
      </c>
      <c r="W51" s="89">
        <f>IFERROR((U51/V51)*$Q$51,0)</f>
        <v>0</v>
      </c>
      <c r="X51" s="124">
        <v>0</v>
      </c>
      <c r="Y51" s="124">
        <v>0</v>
      </c>
      <c r="Z51" s="89">
        <f>IFERROR((X51/Y51)*$Q$51,0)</f>
        <v>0</v>
      </c>
      <c r="AA51" s="124">
        <v>0</v>
      </c>
      <c r="AB51" s="124">
        <v>0</v>
      </c>
      <c r="AC51" s="89">
        <f>IFERROR((AA51/AB51)*$Q$51,0)</f>
        <v>0</v>
      </c>
      <c r="AD51" s="94">
        <v>0</v>
      </c>
      <c r="AE51" s="88">
        <v>0</v>
      </c>
      <c r="AF51" s="89">
        <f>IFERROR((AD51/AE51)*$Q$51,0)</f>
        <v>0</v>
      </c>
      <c r="AG51" s="141">
        <f t="shared" ref="AG51:AG58" si="3">+W51+Z51+AC51+AF51</f>
        <v>0</v>
      </c>
      <c r="AH51" s="103">
        <f>+(AG51+AG52+AG53+AG54+AG55+AG56+AG57)/7</f>
        <v>0</v>
      </c>
      <c r="AI51" s="89" t="s">
        <v>123</v>
      </c>
      <c r="AJ51" s="95" t="s">
        <v>206</v>
      </c>
    </row>
    <row r="52" spans="2:39" s="38" customFormat="1" ht="168.75" customHeight="1" thickBot="1" x14ac:dyDescent="0.25">
      <c r="B52" s="64">
        <v>42</v>
      </c>
      <c r="C52" s="83" t="s">
        <v>419</v>
      </c>
      <c r="D52" s="83" t="s">
        <v>150</v>
      </c>
      <c r="E52" s="83" t="s">
        <v>201</v>
      </c>
      <c r="F52" s="84" t="s">
        <v>202</v>
      </c>
      <c r="G52" s="84" t="s">
        <v>203</v>
      </c>
      <c r="H52" s="84" t="s">
        <v>204</v>
      </c>
      <c r="I52" s="84" t="s">
        <v>207</v>
      </c>
      <c r="J52" s="84" t="s">
        <v>208</v>
      </c>
      <c r="K52" s="84" t="s">
        <v>324</v>
      </c>
      <c r="L52" s="84" t="s">
        <v>51</v>
      </c>
      <c r="M52" s="84" t="s">
        <v>79</v>
      </c>
      <c r="N52" s="84" t="s">
        <v>54</v>
      </c>
      <c r="O52" s="84" t="s">
        <v>54</v>
      </c>
      <c r="P52" s="123">
        <v>1</v>
      </c>
      <c r="Q52" s="86">
        <v>0.25</v>
      </c>
      <c r="R52" s="84" t="s">
        <v>62</v>
      </c>
      <c r="S52" s="122">
        <v>46023</v>
      </c>
      <c r="T52" s="110">
        <v>46387</v>
      </c>
      <c r="U52" s="124">
        <v>0</v>
      </c>
      <c r="V52" s="124">
        <v>0</v>
      </c>
      <c r="W52" s="89">
        <f>+IFERROR((U52/V52)*$Q$52,0)</f>
        <v>0</v>
      </c>
      <c r="X52" s="124">
        <v>0</v>
      </c>
      <c r="Y52" s="124">
        <v>0</v>
      </c>
      <c r="Z52" s="89">
        <f>+IFERROR((X52/Y52)*$Q$52,0)</f>
        <v>0</v>
      </c>
      <c r="AA52" s="124">
        <v>0</v>
      </c>
      <c r="AB52" s="124">
        <v>0</v>
      </c>
      <c r="AC52" s="89">
        <f>+IFERROR((AA52/AB52)*$Q$52,0)</f>
        <v>0</v>
      </c>
      <c r="AD52" s="94">
        <v>0</v>
      </c>
      <c r="AE52" s="88">
        <v>0</v>
      </c>
      <c r="AF52" s="89">
        <f>+IFERROR((AD52/AE52)*$Q$52,0)</f>
        <v>0</v>
      </c>
      <c r="AG52" s="141">
        <f t="shared" si="3"/>
        <v>0</v>
      </c>
      <c r="AH52" s="103"/>
      <c r="AI52" s="89" t="s">
        <v>123</v>
      </c>
      <c r="AJ52" s="95" t="s">
        <v>206</v>
      </c>
    </row>
    <row r="53" spans="2:39" s="38" customFormat="1" ht="187.5" customHeight="1" thickBot="1" x14ac:dyDescent="0.25">
      <c r="B53" s="64">
        <v>43</v>
      </c>
      <c r="C53" s="83" t="s">
        <v>419</v>
      </c>
      <c r="D53" s="83" t="s">
        <v>150</v>
      </c>
      <c r="E53" s="83" t="s">
        <v>201</v>
      </c>
      <c r="F53" s="84" t="s">
        <v>202</v>
      </c>
      <c r="G53" s="84" t="s">
        <v>203</v>
      </c>
      <c r="H53" s="84" t="s">
        <v>421</v>
      </c>
      <c r="I53" s="84" t="s">
        <v>423</v>
      </c>
      <c r="J53" s="84" t="s">
        <v>422</v>
      </c>
      <c r="K53" s="84" t="s">
        <v>209</v>
      </c>
      <c r="L53" s="84" t="s">
        <v>51</v>
      </c>
      <c r="M53" s="84" t="s">
        <v>52</v>
      </c>
      <c r="N53" s="84" t="s">
        <v>54</v>
      </c>
      <c r="O53" s="84" t="s">
        <v>210</v>
      </c>
      <c r="P53" s="123">
        <v>1</v>
      </c>
      <c r="Q53" s="86">
        <v>0.25</v>
      </c>
      <c r="R53" s="84" t="s">
        <v>62</v>
      </c>
      <c r="S53" s="122">
        <v>46023</v>
      </c>
      <c r="T53" s="110">
        <v>46387</v>
      </c>
      <c r="U53" s="94">
        <v>0</v>
      </c>
      <c r="V53" s="88">
        <v>0</v>
      </c>
      <c r="W53" s="89">
        <f>+IFERROR((U53/V53)*$Q$53,0)</f>
        <v>0</v>
      </c>
      <c r="X53" s="94">
        <v>0</v>
      </c>
      <c r="Y53" s="88">
        <v>0</v>
      </c>
      <c r="Z53" s="89">
        <f>+IFERROR((X53/Y53)*$Q$53,0)</f>
        <v>0</v>
      </c>
      <c r="AA53" s="94">
        <v>0</v>
      </c>
      <c r="AB53" s="88">
        <v>0</v>
      </c>
      <c r="AC53" s="89">
        <f>+IFERROR((AA53/AB53)*$Q$53,0)</f>
        <v>0</v>
      </c>
      <c r="AD53" s="94">
        <v>0</v>
      </c>
      <c r="AE53" s="88">
        <v>0</v>
      </c>
      <c r="AF53" s="89">
        <f>+IFERROR((AD53/AE53)*$Q$53,0)</f>
        <v>0</v>
      </c>
      <c r="AG53" s="141">
        <f t="shared" si="3"/>
        <v>0</v>
      </c>
      <c r="AH53" s="103"/>
      <c r="AI53" s="89" t="s">
        <v>123</v>
      </c>
      <c r="AJ53" s="95" t="s">
        <v>206</v>
      </c>
    </row>
    <row r="54" spans="2:39" s="38" customFormat="1" ht="129.75" customHeight="1" thickBot="1" x14ac:dyDescent="0.25">
      <c r="B54" s="64">
        <v>44</v>
      </c>
      <c r="C54" s="83" t="s">
        <v>419</v>
      </c>
      <c r="D54" s="83" t="s">
        <v>150</v>
      </c>
      <c r="E54" s="83" t="s">
        <v>201</v>
      </c>
      <c r="F54" s="84" t="s">
        <v>202</v>
      </c>
      <c r="G54" s="84" t="s">
        <v>203</v>
      </c>
      <c r="H54" s="84" t="s">
        <v>325</v>
      </c>
      <c r="I54" s="84" t="s">
        <v>326</v>
      </c>
      <c r="J54" s="84" t="s">
        <v>327</v>
      </c>
      <c r="K54" s="84" t="s">
        <v>328</v>
      </c>
      <c r="L54" s="84" t="s">
        <v>211</v>
      </c>
      <c r="M54" s="84" t="s">
        <v>79</v>
      </c>
      <c r="N54" s="84" t="s">
        <v>54</v>
      </c>
      <c r="O54" s="84" t="s">
        <v>54</v>
      </c>
      <c r="P54" s="123">
        <v>1</v>
      </c>
      <c r="Q54" s="86">
        <v>0.25</v>
      </c>
      <c r="R54" s="84" t="s">
        <v>62</v>
      </c>
      <c r="S54" s="122">
        <v>46023</v>
      </c>
      <c r="T54" s="110">
        <v>46387</v>
      </c>
      <c r="U54" s="94">
        <v>0</v>
      </c>
      <c r="V54" s="88">
        <v>0</v>
      </c>
      <c r="W54" s="89">
        <f>+IFERROR((U54/V54)*$Q$54,0)</f>
        <v>0</v>
      </c>
      <c r="X54" s="94">
        <v>0</v>
      </c>
      <c r="Y54" s="88">
        <v>0</v>
      </c>
      <c r="Z54" s="89">
        <f>+IFERROR((X54/Y54)*$Q$54,0)</f>
        <v>0</v>
      </c>
      <c r="AA54" s="94">
        <v>0</v>
      </c>
      <c r="AB54" s="88">
        <v>0</v>
      </c>
      <c r="AC54" s="89">
        <f>+IFERROR((AA54/AB54)*$Q$54,0)</f>
        <v>0</v>
      </c>
      <c r="AD54" s="94">
        <v>0</v>
      </c>
      <c r="AE54" s="88">
        <v>0</v>
      </c>
      <c r="AF54" s="89">
        <f>+IFERROR((AD54/AE54)*$Q$54,0)</f>
        <v>0</v>
      </c>
      <c r="AG54" s="141">
        <f t="shared" si="3"/>
        <v>0</v>
      </c>
      <c r="AH54" s="103"/>
      <c r="AI54" s="89" t="s">
        <v>123</v>
      </c>
      <c r="AJ54" s="95" t="s">
        <v>206</v>
      </c>
    </row>
    <row r="55" spans="2:39" s="38" customFormat="1" ht="106.5" customHeight="1" thickBot="1" x14ac:dyDescent="0.25">
      <c r="B55" s="64">
        <v>45</v>
      </c>
      <c r="C55" s="83" t="s">
        <v>419</v>
      </c>
      <c r="D55" s="83" t="s">
        <v>150</v>
      </c>
      <c r="E55" s="83" t="s">
        <v>201</v>
      </c>
      <c r="F55" s="84" t="s">
        <v>212</v>
      </c>
      <c r="G55" s="84" t="s">
        <v>213</v>
      </c>
      <c r="H55" s="84" t="s">
        <v>214</v>
      </c>
      <c r="I55" s="84" t="s">
        <v>215</v>
      </c>
      <c r="J55" s="84" t="s">
        <v>216</v>
      </c>
      <c r="K55" s="84" t="s">
        <v>217</v>
      </c>
      <c r="L55" s="84" t="s">
        <v>211</v>
      </c>
      <c r="M55" s="84" t="s">
        <v>79</v>
      </c>
      <c r="N55" s="84" t="s">
        <v>424</v>
      </c>
      <c r="O55" s="84" t="s">
        <v>218</v>
      </c>
      <c r="P55" s="123">
        <v>0.95</v>
      </c>
      <c r="Q55" s="86">
        <v>0.25</v>
      </c>
      <c r="R55" s="84" t="s">
        <v>62</v>
      </c>
      <c r="S55" s="122">
        <v>46023</v>
      </c>
      <c r="T55" s="110">
        <v>46387</v>
      </c>
      <c r="U55" s="124">
        <v>0</v>
      </c>
      <c r="V55" s="124">
        <v>0</v>
      </c>
      <c r="W55" s="89">
        <f>IFERROR((U55/V55)*$Q$55,0)</f>
        <v>0</v>
      </c>
      <c r="X55" s="124">
        <v>0</v>
      </c>
      <c r="Y55" s="124">
        <v>0</v>
      </c>
      <c r="Z55" s="89">
        <f>IFERROR((X55/Y55)*$Q$55,0)</f>
        <v>0</v>
      </c>
      <c r="AA55" s="124">
        <v>0</v>
      </c>
      <c r="AB55" s="124">
        <v>0</v>
      </c>
      <c r="AC55" s="89">
        <f>IFERROR((AA55/AB55)*$Q$55,0)</f>
        <v>0</v>
      </c>
      <c r="AD55" s="94">
        <v>0</v>
      </c>
      <c r="AE55" s="88">
        <v>0</v>
      </c>
      <c r="AF55" s="89">
        <f>IFERROR((AD55/AE55)*$Q$55,0)</f>
        <v>0</v>
      </c>
      <c r="AG55" s="141">
        <f t="shared" si="3"/>
        <v>0</v>
      </c>
      <c r="AH55" s="103"/>
      <c r="AI55" s="89" t="s">
        <v>123</v>
      </c>
      <c r="AJ55" s="95" t="s">
        <v>206</v>
      </c>
    </row>
    <row r="56" spans="2:39" s="38" customFormat="1" ht="99" customHeight="1" thickBot="1" x14ac:dyDescent="0.25">
      <c r="B56" s="64">
        <v>46</v>
      </c>
      <c r="C56" s="83" t="s">
        <v>419</v>
      </c>
      <c r="D56" s="83" t="s">
        <v>150</v>
      </c>
      <c r="E56" s="83" t="s">
        <v>201</v>
      </c>
      <c r="F56" s="84" t="s">
        <v>212</v>
      </c>
      <c r="G56" s="84" t="s">
        <v>213</v>
      </c>
      <c r="H56" s="84" t="s">
        <v>219</v>
      </c>
      <c r="I56" s="84" t="s">
        <v>220</v>
      </c>
      <c r="J56" s="84" t="s">
        <v>221</v>
      </c>
      <c r="K56" s="84" t="s">
        <v>222</v>
      </c>
      <c r="L56" s="84" t="s">
        <v>211</v>
      </c>
      <c r="M56" s="84" t="s">
        <v>79</v>
      </c>
      <c r="N56" s="84" t="s">
        <v>424</v>
      </c>
      <c r="O56" s="84" t="s">
        <v>218</v>
      </c>
      <c r="P56" s="123">
        <v>0.95</v>
      </c>
      <c r="Q56" s="86">
        <v>0.25</v>
      </c>
      <c r="R56" s="84" t="s">
        <v>62</v>
      </c>
      <c r="S56" s="122">
        <v>46023</v>
      </c>
      <c r="T56" s="110">
        <v>46387</v>
      </c>
      <c r="U56" s="124">
        <v>0</v>
      </c>
      <c r="V56" s="124">
        <v>0</v>
      </c>
      <c r="W56" s="89">
        <f>+IFERROR((U56/V56)*$Q$55,0)</f>
        <v>0</v>
      </c>
      <c r="X56" s="124">
        <v>0</v>
      </c>
      <c r="Y56" s="124">
        <v>0</v>
      </c>
      <c r="Z56" s="89">
        <f>+IFERROR((X56/Y56)*$Q$55,0)</f>
        <v>0</v>
      </c>
      <c r="AA56" s="124">
        <v>0</v>
      </c>
      <c r="AB56" s="124">
        <v>0</v>
      </c>
      <c r="AC56" s="89">
        <f>+IFERROR((AA56/AB56)*$Q$55,0)</f>
        <v>0</v>
      </c>
      <c r="AD56" s="94">
        <v>0</v>
      </c>
      <c r="AE56" s="88">
        <v>0</v>
      </c>
      <c r="AF56" s="89">
        <f>+IFERROR((AD56/AE56)*$Q$55,0)</f>
        <v>0</v>
      </c>
      <c r="AG56" s="141">
        <f>+W56+Z56+AC56+AF56</f>
        <v>0</v>
      </c>
      <c r="AH56" s="103"/>
      <c r="AI56" s="89" t="s">
        <v>123</v>
      </c>
      <c r="AJ56" s="95" t="s">
        <v>206</v>
      </c>
    </row>
    <row r="57" spans="2:39" s="38" customFormat="1" ht="94.5" customHeight="1" thickBot="1" x14ac:dyDescent="0.25">
      <c r="B57" s="64">
        <v>47</v>
      </c>
      <c r="C57" s="83" t="s">
        <v>419</v>
      </c>
      <c r="D57" s="83" t="s">
        <v>200</v>
      </c>
      <c r="E57" s="83" t="s">
        <v>201</v>
      </c>
      <c r="F57" s="84" t="s">
        <v>212</v>
      </c>
      <c r="G57" s="84" t="s">
        <v>213</v>
      </c>
      <c r="H57" s="84" t="s">
        <v>322</v>
      </c>
      <c r="I57" s="84" t="s">
        <v>319</v>
      </c>
      <c r="J57" s="84" t="s">
        <v>320</v>
      </c>
      <c r="K57" s="84" t="s">
        <v>329</v>
      </c>
      <c r="L57" s="84" t="s">
        <v>211</v>
      </c>
      <c r="M57" s="84" t="s">
        <v>79</v>
      </c>
      <c r="N57" s="84" t="s">
        <v>54</v>
      </c>
      <c r="O57" s="84" t="s">
        <v>321</v>
      </c>
      <c r="P57" s="123">
        <v>0.75</v>
      </c>
      <c r="Q57" s="86">
        <v>0.25</v>
      </c>
      <c r="R57" s="84" t="s">
        <v>62</v>
      </c>
      <c r="S57" s="122">
        <v>46023</v>
      </c>
      <c r="T57" s="110">
        <v>46387</v>
      </c>
      <c r="U57" s="124">
        <v>0</v>
      </c>
      <c r="V57" s="124">
        <v>0</v>
      </c>
      <c r="W57" s="89">
        <f>+IFERROR((U57/V57)*$Q$57,0)</f>
        <v>0</v>
      </c>
      <c r="X57" s="124">
        <v>0</v>
      </c>
      <c r="Y57" s="124">
        <v>0</v>
      </c>
      <c r="Z57" s="89">
        <f>+IFERROR((X57/Y57)*$Q$57,0)</f>
        <v>0</v>
      </c>
      <c r="AA57" s="94">
        <v>0</v>
      </c>
      <c r="AB57" s="88">
        <v>0</v>
      </c>
      <c r="AC57" s="89">
        <f>+IFERROR((AA57/AB57)*$Q$57,0)</f>
        <v>0</v>
      </c>
      <c r="AD57" s="94">
        <v>0</v>
      </c>
      <c r="AE57" s="88">
        <v>0</v>
      </c>
      <c r="AF57" s="89">
        <f>+IFERROR((AD57/AE57)*$Q$57,0)</f>
        <v>0</v>
      </c>
      <c r="AG57" s="141">
        <f t="shared" si="3"/>
        <v>0</v>
      </c>
      <c r="AH57" s="103"/>
      <c r="AI57" s="89" t="s">
        <v>123</v>
      </c>
      <c r="AJ57" s="95" t="s">
        <v>206</v>
      </c>
    </row>
    <row r="58" spans="2:39" s="40" customFormat="1" ht="117.75" customHeight="1" thickBot="1" x14ac:dyDescent="0.25">
      <c r="B58" s="64">
        <v>48</v>
      </c>
      <c r="C58" s="83" t="s">
        <v>395</v>
      </c>
      <c r="D58" s="83" t="s">
        <v>150</v>
      </c>
      <c r="E58" s="83" t="s">
        <v>223</v>
      </c>
      <c r="F58" s="83" t="s">
        <v>224</v>
      </c>
      <c r="G58" s="83" t="s">
        <v>225</v>
      </c>
      <c r="H58" s="83" t="s">
        <v>431</v>
      </c>
      <c r="I58" s="83" t="s">
        <v>425</v>
      </c>
      <c r="J58" s="83" t="s">
        <v>426</v>
      </c>
      <c r="K58" s="83" t="s">
        <v>436</v>
      </c>
      <c r="L58" s="83" t="s">
        <v>57</v>
      </c>
      <c r="M58" s="83" t="s">
        <v>52</v>
      </c>
      <c r="N58" s="125" t="s">
        <v>432</v>
      </c>
      <c r="O58" s="83" t="s">
        <v>427</v>
      </c>
      <c r="P58" s="125" t="s">
        <v>432</v>
      </c>
      <c r="Q58" s="98">
        <v>0.25</v>
      </c>
      <c r="R58" s="83" t="s">
        <v>62</v>
      </c>
      <c r="S58" s="122">
        <v>46023</v>
      </c>
      <c r="T58" s="122">
        <v>46387</v>
      </c>
      <c r="U58" s="102">
        <v>0</v>
      </c>
      <c r="V58" s="101">
        <v>0</v>
      </c>
      <c r="W58" s="99">
        <f>IFERROR((U58/V58)*$Q$58,0)</f>
        <v>0</v>
      </c>
      <c r="X58" s="102">
        <v>0</v>
      </c>
      <c r="Y58" s="101">
        <v>0</v>
      </c>
      <c r="Z58" s="99">
        <f>IFERROR((X58/Y58)*$Q$58,0)</f>
        <v>0</v>
      </c>
      <c r="AA58" s="102">
        <v>0</v>
      </c>
      <c r="AB58" s="101">
        <v>0</v>
      </c>
      <c r="AC58" s="99">
        <f>IFERROR((AA58/AB58)*$Q$58,0)</f>
        <v>0</v>
      </c>
      <c r="AD58" s="102">
        <v>0</v>
      </c>
      <c r="AE58" s="101">
        <v>0</v>
      </c>
      <c r="AF58" s="99">
        <f>IFERROR((AD58/AE58)*$Q$58,0)</f>
        <v>0</v>
      </c>
      <c r="AG58" s="142">
        <f t="shared" si="3"/>
        <v>0</v>
      </c>
      <c r="AH58" s="126">
        <f>+(AG58+AG59+AG60)/3</f>
        <v>0</v>
      </c>
      <c r="AI58" s="99" t="s">
        <v>73</v>
      </c>
      <c r="AJ58" s="100" t="s">
        <v>226</v>
      </c>
      <c r="AK58" s="65"/>
      <c r="AL58" s="37"/>
      <c r="AM58" s="66"/>
    </row>
    <row r="59" spans="2:39" s="40" customFormat="1" ht="69" customHeight="1" thickBot="1" x14ac:dyDescent="0.25">
      <c r="B59" s="64">
        <v>49</v>
      </c>
      <c r="C59" s="83" t="s">
        <v>395</v>
      </c>
      <c r="D59" s="83" t="s">
        <v>150</v>
      </c>
      <c r="E59" s="83" t="s">
        <v>227</v>
      </c>
      <c r="F59" s="83" t="s">
        <v>224</v>
      </c>
      <c r="G59" s="83" t="s">
        <v>225</v>
      </c>
      <c r="H59" s="83" t="s">
        <v>433</v>
      </c>
      <c r="I59" s="83" t="s">
        <v>276</v>
      </c>
      <c r="J59" s="83" t="s">
        <v>351</v>
      </c>
      <c r="K59" s="83" t="s">
        <v>352</v>
      </c>
      <c r="L59" s="83" t="s">
        <v>57</v>
      </c>
      <c r="M59" s="83" t="s">
        <v>52</v>
      </c>
      <c r="N59" s="83" t="s">
        <v>228</v>
      </c>
      <c r="O59" s="83" t="s">
        <v>54</v>
      </c>
      <c r="P59" s="102">
        <v>2</v>
      </c>
      <c r="Q59" s="98">
        <v>0.5</v>
      </c>
      <c r="R59" s="83" t="s">
        <v>96</v>
      </c>
      <c r="S59" s="122">
        <v>46023</v>
      </c>
      <c r="T59" s="122">
        <v>46387</v>
      </c>
      <c r="U59" s="102" t="s">
        <v>54</v>
      </c>
      <c r="V59" s="102" t="s">
        <v>54</v>
      </c>
      <c r="W59" s="102" t="s">
        <v>54</v>
      </c>
      <c r="X59" s="102">
        <v>0</v>
      </c>
      <c r="Y59" s="101">
        <v>1</v>
      </c>
      <c r="Z59" s="99">
        <f>+(X59/Y59)*$Q$59</f>
        <v>0</v>
      </c>
      <c r="AA59" s="102" t="s">
        <v>156</v>
      </c>
      <c r="AB59" s="101" t="s">
        <v>156</v>
      </c>
      <c r="AC59" s="99" t="s">
        <v>54</v>
      </c>
      <c r="AD59" s="102">
        <v>0</v>
      </c>
      <c r="AE59" s="101">
        <v>1</v>
      </c>
      <c r="AF59" s="99">
        <f>+(AD59/AE59)*$Q$59</f>
        <v>0</v>
      </c>
      <c r="AG59" s="142">
        <f>+Z59+AF59</f>
        <v>0</v>
      </c>
      <c r="AH59" s="127"/>
      <c r="AI59" s="99" t="s">
        <v>73</v>
      </c>
      <c r="AJ59" s="100" t="s">
        <v>226</v>
      </c>
      <c r="AK59" s="39"/>
      <c r="AL59" s="37"/>
      <c r="AM59" s="66"/>
    </row>
    <row r="60" spans="2:39" s="40" customFormat="1" ht="67.5" customHeight="1" thickBot="1" x14ac:dyDescent="0.25">
      <c r="B60" s="64">
        <v>50</v>
      </c>
      <c r="C60" s="83" t="s">
        <v>395</v>
      </c>
      <c r="D60" s="83" t="s">
        <v>150</v>
      </c>
      <c r="E60" s="83" t="s">
        <v>227</v>
      </c>
      <c r="F60" s="83" t="s">
        <v>224</v>
      </c>
      <c r="G60" s="83" t="s">
        <v>225</v>
      </c>
      <c r="H60" s="83" t="s">
        <v>428</v>
      </c>
      <c r="I60" s="83" t="s">
        <v>429</v>
      </c>
      <c r="J60" s="83" t="s">
        <v>430</v>
      </c>
      <c r="K60" s="83" t="s">
        <v>434</v>
      </c>
      <c r="L60" s="83" t="s">
        <v>51</v>
      </c>
      <c r="M60" s="83" t="s">
        <v>52</v>
      </c>
      <c r="N60" s="83" t="s">
        <v>435</v>
      </c>
      <c r="O60" s="83" t="s">
        <v>54</v>
      </c>
      <c r="P60" s="98">
        <v>0.15</v>
      </c>
      <c r="Q60" s="98">
        <v>0.25</v>
      </c>
      <c r="R60" s="83" t="s">
        <v>58</v>
      </c>
      <c r="S60" s="122">
        <v>46023</v>
      </c>
      <c r="T60" s="122">
        <v>46387</v>
      </c>
      <c r="U60" s="83">
        <v>0</v>
      </c>
      <c r="V60" s="128">
        <v>0</v>
      </c>
      <c r="W60" s="99">
        <v>0</v>
      </c>
      <c r="X60" s="102">
        <v>0</v>
      </c>
      <c r="Y60" s="101">
        <v>0</v>
      </c>
      <c r="Z60" s="99">
        <f>IFERROR((X60/Y60)*$Q$60,0)</f>
        <v>0</v>
      </c>
      <c r="AA60" s="102">
        <v>0</v>
      </c>
      <c r="AB60" s="101">
        <v>0</v>
      </c>
      <c r="AC60" s="99">
        <f>IFERROR((AA60/AB60)*$Q$60,0)</f>
        <v>0</v>
      </c>
      <c r="AD60" s="102">
        <v>0</v>
      </c>
      <c r="AE60" s="101">
        <v>0</v>
      </c>
      <c r="AF60" s="99">
        <f>IFERROR((AD60/AE60)*$Q$60,0)</f>
        <v>0</v>
      </c>
      <c r="AG60" s="142">
        <f>Z60+AF60</f>
        <v>0</v>
      </c>
      <c r="AH60" s="129"/>
      <c r="AI60" s="99" t="s">
        <v>73</v>
      </c>
      <c r="AJ60" s="100" t="s">
        <v>226</v>
      </c>
      <c r="AK60" s="39"/>
      <c r="AL60" s="37"/>
      <c r="AM60" s="66"/>
    </row>
    <row r="61" spans="2:39" s="24" customFormat="1" ht="159" customHeight="1" thickBot="1" x14ac:dyDescent="0.25">
      <c r="B61" s="82">
        <v>51</v>
      </c>
      <c r="C61" s="130" t="s">
        <v>229</v>
      </c>
      <c r="D61" s="130" t="s">
        <v>45</v>
      </c>
      <c r="E61" s="130" t="s">
        <v>230</v>
      </c>
      <c r="F61" s="130" t="s">
        <v>231</v>
      </c>
      <c r="G61" s="130" t="s">
        <v>232</v>
      </c>
      <c r="H61" s="130" t="s">
        <v>233</v>
      </c>
      <c r="I61" s="130" t="s">
        <v>259</v>
      </c>
      <c r="J61" s="130" t="s">
        <v>234</v>
      </c>
      <c r="K61" s="130" t="s">
        <v>258</v>
      </c>
      <c r="L61" s="130" t="s">
        <v>57</v>
      </c>
      <c r="M61" s="130" t="s">
        <v>235</v>
      </c>
      <c r="N61" s="130" t="s">
        <v>257</v>
      </c>
      <c r="O61" s="130" t="s">
        <v>236</v>
      </c>
      <c r="P61" s="131">
        <v>11</v>
      </c>
      <c r="Q61" s="132" t="s">
        <v>81</v>
      </c>
      <c r="R61" s="130" t="s">
        <v>260</v>
      </c>
      <c r="S61" s="122">
        <v>46023</v>
      </c>
      <c r="T61" s="122">
        <v>46387</v>
      </c>
      <c r="U61" s="83">
        <v>0</v>
      </c>
      <c r="V61" s="128">
        <v>0</v>
      </c>
      <c r="W61" s="99">
        <f>+IFERROR((U61/V61)*(U61/$P$61),0)</f>
        <v>0</v>
      </c>
      <c r="X61" s="83">
        <v>0</v>
      </c>
      <c r="Y61" s="128">
        <v>0</v>
      </c>
      <c r="Z61" s="99">
        <f>+IFERROR((X61/Y61)*(X61/$P$61),0)</f>
        <v>0</v>
      </c>
      <c r="AA61" s="102">
        <v>0</v>
      </c>
      <c r="AB61" s="101">
        <v>0</v>
      </c>
      <c r="AC61" s="99">
        <f>+IFERROR((AA61/AB61)*(AA61/$P$61),0)</f>
        <v>0</v>
      </c>
      <c r="AD61" s="131">
        <v>0</v>
      </c>
      <c r="AE61" s="133">
        <v>0</v>
      </c>
      <c r="AF61" s="134">
        <f>+IFERROR((AD61/AE61)*(AD61/$P$61),0)</f>
        <v>0</v>
      </c>
      <c r="AG61" s="143">
        <f>IF(Z61+AC61+AF6+W61&gt;100%,100%,Z61+AC61+AF6+W61)</f>
        <v>0</v>
      </c>
      <c r="AH61" s="135">
        <f>+(AG61+AG62+AG63+AG64+AG65+AG66)/6</f>
        <v>0</v>
      </c>
      <c r="AI61" s="134" t="s">
        <v>238</v>
      </c>
      <c r="AJ61" s="136" t="s">
        <v>238</v>
      </c>
    </row>
    <row r="62" spans="2:39" s="24" customFormat="1" ht="127.5" customHeight="1" thickBot="1" x14ac:dyDescent="0.25">
      <c r="B62" s="82">
        <v>52</v>
      </c>
      <c r="C62" s="130" t="s">
        <v>229</v>
      </c>
      <c r="D62" s="130" t="s">
        <v>45</v>
      </c>
      <c r="E62" s="130" t="s">
        <v>230</v>
      </c>
      <c r="F62" s="130" t="s">
        <v>231</v>
      </c>
      <c r="G62" s="130" t="s">
        <v>232</v>
      </c>
      <c r="H62" s="130" t="s">
        <v>239</v>
      </c>
      <c r="I62" s="130" t="s">
        <v>240</v>
      </c>
      <c r="J62" s="130" t="s">
        <v>241</v>
      </c>
      <c r="K62" s="130" t="s">
        <v>261</v>
      </c>
      <c r="L62" s="130" t="s">
        <v>57</v>
      </c>
      <c r="M62" s="130" t="s">
        <v>235</v>
      </c>
      <c r="N62" s="130" t="s">
        <v>262</v>
      </c>
      <c r="O62" s="130" t="s">
        <v>263</v>
      </c>
      <c r="P62" s="131">
        <v>2</v>
      </c>
      <c r="Q62" s="132">
        <v>0.5</v>
      </c>
      <c r="R62" s="130" t="s">
        <v>242</v>
      </c>
      <c r="S62" s="122">
        <v>46023</v>
      </c>
      <c r="T62" s="122">
        <v>46387</v>
      </c>
      <c r="U62" s="102">
        <v>0</v>
      </c>
      <c r="V62" s="101">
        <v>0</v>
      </c>
      <c r="W62" s="99">
        <f>IFERROR((U62/V62)*$Q$62,0)</f>
        <v>0</v>
      </c>
      <c r="X62" s="102" t="s">
        <v>156</v>
      </c>
      <c r="Y62" s="101" t="s">
        <v>156</v>
      </c>
      <c r="Z62" s="99" t="s">
        <v>54</v>
      </c>
      <c r="AA62" s="102">
        <v>0</v>
      </c>
      <c r="AB62" s="101">
        <v>0</v>
      </c>
      <c r="AC62" s="99">
        <f>IFERROR((AA62/AB62)*$Q$62,0)</f>
        <v>0</v>
      </c>
      <c r="AD62" s="131" t="s">
        <v>237</v>
      </c>
      <c r="AE62" s="133" t="s">
        <v>156</v>
      </c>
      <c r="AF62" s="134" t="s">
        <v>154</v>
      </c>
      <c r="AG62" s="143">
        <f>+W62+AC62</f>
        <v>0</v>
      </c>
      <c r="AH62" s="135"/>
      <c r="AI62" s="134" t="s">
        <v>238</v>
      </c>
      <c r="AJ62" s="136" t="s">
        <v>238</v>
      </c>
    </row>
    <row r="63" spans="2:39" s="24" customFormat="1" ht="120" customHeight="1" thickBot="1" x14ac:dyDescent="0.25">
      <c r="B63" s="82">
        <v>53</v>
      </c>
      <c r="C63" s="130" t="s">
        <v>229</v>
      </c>
      <c r="D63" s="130" t="s">
        <v>45</v>
      </c>
      <c r="E63" s="130" t="s">
        <v>230</v>
      </c>
      <c r="F63" s="130" t="s">
        <v>231</v>
      </c>
      <c r="G63" s="130" t="s">
        <v>232</v>
      </c>
      <c r="H63" s="130" t="s">
        <v>264</v>
      </c>
      <c r="I63" s="130" t="s">
        <v>265</v>
      </c>
      <c r="J63" s="130" t="s">
        <v>243</v>
      </c>
      <c r="K63" s="130" t="s">
        <v>266</v>
      </c>
      <c r="L63" s="130" t="s">
        <v>57</v>
      </c>
      <c r="M63" s="130" t="s">
        <v>244</v>
      </c>
      <c r="N63" s="130" t="s">
        <v>245</v>
      </c>
      <c r="O63" s="130" t="s">
        <v>246</v>
      </c>
      <c r="P63" s="131">
        <v>9</v>
      </c>
      <c r="Q63" s="132">
        <v>0.25</v>
      </c>
      <c r="R63" s="130" t="s">
        <v>247</v>
      </c>
      <c r="S63" s="122">
        <v>46023</v>
      </c>
      <c r="T63" s="122">
        <v>46387</v>
      </c>
      <c r="U63" s="102">
        <v>0</v>
      </c>
      <c r="V63" s="101">
        <v>0</v>
      </c>
      <c r="W63" s="99">
        <f>+IFERROR((U63/V63)*($Q$63),0)</f>
        <v>0</v>
      </c>
      <c r="X63" s="102">
        <v>0</v>
      </c>
      <c r="Y63" s="101">
        <v>0</v>
      </c>
      <c r="Z63" s="99">
        <f>+IFERROR((X63/Y63)*($Q$63),0)</f>
        <v>0</v>
      </c>
      <c r="AA63" s="102">
        <v>0</v>
      </c>
      <c r="AB63" s="101">
        <v>0</v>
      </c>
      <c r="AC63" s="99">
        <f>+IFERROR((AA63/AB63)*($Q$63),0)</f>
        <v>0</v>
      </c>
      <c r="AD63" s="131">
        <v>0</v>
      </c>
      <c r="AE63" s="133">
        <v>0</v>
      </c>
      <c r="AF63" s="134">
        <f>+IFERROR((AD63/AE63)*($Q$63),0)</f>
        <v>0</v>
      </c>
      <c r="AG63" s="143">
        <f>+W63+Z63+AC63+AF63</f>
        <v>0</v>
      </c>
      <c r="AH63" s="135"/>
      <c r="AI63" s="134" t="s">
        <v>238</v>
      </c>
      <c r="AJ63" s="136" t="s">
        <v>238</v>
      </c>
    </row>
    <row r="64" spans="2:39" s="24" customFormat="1" ht="171.75" customHeight="1" thickBot="1" x14ac:dyDescent="0.25">
      <c r="B64" s="82">
        <v>54</v>
      </c>
      <c r="C64" s="130" t="s">
        <v>369</v>
      </c>
      <c r="D64" s="130" t="s">
        <v>45</v>
      </c>
      <c r="E64" s="130" t="s">
        <v>230</v>
      </c>
      <c r="F64" s="130" t="s">
        <v>231</v>
      </c>
      <c r="G64" s="130" t="s">
        <v>232</v>
      </c>
      <c r="H64" s="130" t="s">
        <v>248</v>
      </c>
      <c r="I64" s="130" t="s">
        <v>267</v>
      </c>
      <c r="J64" s="130" t="s">
        <v>249</v>
      </c>
      <c r="K64" s="130" t="s">
        <v>268</v>
      </c>
      <c r="L64" s="130" t="s">
        <v>51</v>
      </c>
      <c r="M64" s="130" t="s">
        <v>235</v>
      </c>
      <c r="N64" s="130" t="s">
        <v>54</v>
      </c>
      <c r="O64" s="130" t="s">
        <v>250</v>
      </c>
      <c r="P64" s="137" t="s">
        <v>251</v>
      </c>
      <c r="Q64" s="132">
        <v>0.25</v>
      </c>
      <c r="R64" s="130" t="s">
        <v>247</v>
      </c>
      <c r="S64" s="122">
        <v>46023</v>
      </c>
      <c r="T64" s="122">
        <v>46387</v>
      </c>
      <c r="U64" s="102">
        <v>0</v>
      </c>
      <c r="V64" s="101">
        <v>0</v>
      </c>
      <c r="W64" s="99">
        <f>+IFERROR((U64/V64)*($Q$64),0)</f>
        <v>0</v>
      </c>
      <c r="X64" s="102">
        <v>0</v>
      </c>
      <c r="Y64" s="101">
        <v>0</v>
      </c>
      <c r="Z64" s="99">
        <f>+IFERROR((X64/Y64)*($Q$64),0)</f>
        <v>0</v>
      </c>
      <c r="AA64" s="102">
        <v>0</v>
      </c>
      <c r="AB64" s="101">
        <v>0</v>
      </c>
      <c r="AC64" s="99">
        <f>+IFERROR((AA64/AB64)*($Q$64),0)</f>
        <v>0</v>
      </c>
      <c r="AD64" s="131">
        <v>0</v>
      </c>
      <c r="AE64" s="133">
        <v>0</v>
      </c>
      <c r="AF64" s="134">
        <f>+IFERROR((AD64/AE64)*($Q$64),0)</f>
        <v>0</v>
      </c>
      <c r="AG64" s="143">
        <f>+W64+Z64+AC64+AF64</f>
        <v>0</v>
      </c>
      <c r="AH64" s="135"/>
      <c r="AI64" s="134" t="s">
        <v>238</v>
      </c>
      <c r="AJ64" s="136" t="s">
        <v>238</v>
      </c>
    </row>
    <row r="65" spans="2:36" s="24" customFormat="1" ht="149.25" customHeight="1" thickBot="1" x14ac:dyDescent="0.25">
      <c r="B65" s="82">
        <v>55</v>
      </c>
      <c r="C65" s="130" t="s">
        <v>229</v>
      </c>
      <c r="D65" s="130" t="s">
        <v>45</v>
      </c>
      <c r="E65" s="130" t="s">
        <v>230</v>
      </c>
      <c r="F65" s="130" t="s">
        <v>231</v>
      </c>
      <c r="G65" s="130" t="s">
        <v>232</v>
      </c>
      <c r="H65" s="130" t="s">
        <v>252</v>
      </c>
      <c r="I65" s="130" t="s">
        <v>269</v>
      </c>
      <c r="J65" s="130" t="s">
        <v>253</v>
      </c>
      <c r="K65" s="130" t="s">
        <v>270</v>
      </c>
      <c r="L65" s="130" t="s">
        <v>57</v>
      </c>
      <c r="M65" s="130" t="s">
        <v>235</v>
      </c>
      <c r="N65" s="130">
        <v>4</v>
      </c>
      <c r="O65" s="130" t="s">
        <v>271</v>
      </c>
      <c r="P65" s="131">
        <v>4</v>
      </c>
      <c r="Q65" s="132">
        <v>0.25</v>
      </c>
      <c r="R65" s="130" t="s">
        <v>247</v>
      </c>
      <c r="S65" s="122">
        <v>46023</v>
      </c>
      <c r="T65" s="122">
        <v>46387</v>
      </c>
      <c r="U65" s="102">
        <v>0</v>
      </c>
      <c r="V65" s="101">
        <v>0</v>
      </c>
      <c r="W65" s="99">
        <f>+IFERROR((U65/V65)*$Q$65,0)</f>
        <v>0</v>
      </c>
      <c r="X65" s="102">
        <v>0</v>
      </c>
      <c r="Y65" s="101">
        <v>0</v>
      </c>
      <c r="Z65" s="99">
        <f>+IFERROR((X65/Y65)*$Q$65,0)</f>
        <v>0</v>
      </c>
      <c r="AA65" s="102">
        <v>0</v>
      </c>
      <c r="AB65" s="101">
        <v>0</v>
      </c>
      <c r="AC65" s="99">
        <f>+IFERROR((AA65/AB65)*$Q$65,0)</f>
        <v>0</v>
      </c>
      <c r="AD65" s="131">
        <v>0</v>
      </c>
      <c r="AE65" s="133">
        <v>0</v>
      </c>
      <c r="AF65" s="134">
        <f>+IFERROR((AD65/AE65)*$Q$65,0)</f>
        <v>0</v>
      </c>
      <c r="AG65" s="143">
        <f>+W65+Z65+AC65+AF65</f>
        <v>0</v>
      </c>
      <c r="AH65" s="135"/>
      <c r="AI65" s="134" t="s">
        <v>238</v>
      </c>
      <c r="AJ65" s="136" t="s">
        <v>238</v>
      </c>
    </row>
    <row r="66" spans="2:36" s="24" customFormat="1" ht="111" customHeight="1" thickBot="1" x14ac:dyDescent="0.25">
      <c r="B66" s="82">
        <v>56</v>
      </c>
      <c r="C66" s="130" t="s">
        <v>229</v>
      </c>
      <c r="D66" s="130" t="s">
        <v>45</v>
      </c>
      <c r="E66" s="130" t="s">
        <v>230</v>
      </c>
      <c r="F66" s="130" t="s">
        <v>231</v>
      </c>
      <c r="G66" s="130" t="s">
        <v>232</v>
      </c>
      <c r="H66" s="130" t="s">
        <v>272</v>
      </c>
      <c r="I66" s="130" t="s">
        <v>273</v>
      </c>
      <c r="J66" s="130" t="s">
        <v>254</v>
      </c>
      <c r="K66" s="130" t="s">
        <v>274</v>
      </c>
      <c r="L66" s="130" t="s">
        <v>57</v>
      </c>
      <c r="M66" s="130" t="s">
        <v>235</v>
      </c>
      <c r="N66" s="130" t="s">
        <v>275</v>
      </c>
      <c r="O66" s="130" t="s">
        <v>255</v>
      </c>
      <c r="P66" s="131">
        <v>12</v>
      </c>
      <c r="Q66" s="132">
        <v>0.25</v>
      </c>
      <c r="R66" s="130" t="s">
        <v>58</v>
      </c>
      <c r="S66" s="122">
        <v>46023</v>
      </c>
      <c r="T66" s="122">
        <v>46387</v>
      </c>
      <c r="U66" s="102">
        <v>0</v>
      </c>
      <c r="V66" s="101">
        <v>3</v>
      </c>
      <c r="W66" s="99">
        <f>+IFERROR((U66/V66)*$Q$66,0)</f>
        <v>0</v>
      </c>
      <c r="X66" s="102">
        <v>0</v>
      </c>
      <c r="Y66" s="101">
        <v>3</v>
      </c>
      <c r="Z66" s="99">
        <f>+IFERROR((X66/Y66)*$Q$66,0)</f>
        <v>0</v>
      </c>
      <c r="AA66" s="102">
        <v>0</v>
      </c>
      <c r="AB66" s="101">
        <v>3</v>
      </c>
      <c r="AC66" s="99">
        <f>+IFERROR((AA66/AB66)*$Q$66,0)</f>
        <v>0</v>
      </c>
      <c r="AD66" s="131">
        <v>0</v>
      </c>
      <c r="AE66" s="133">
        <v>0</v>
      </c>
      <c r="AF66" s="134">
        <f>+IFERROR((AD66/AE66)*$Q$66,0)</f>
        <v>0</v>
      </c>
      <c r="AG66" s="143">
        <f>+W66+Z66+AC66+AF66</f>
        <v>0</v>
      </c>
      <c r="AH66" s="135"/>
      <c r="AI66" s="134" t="s">
        <v>238</v>
      </c>
      <c r="AJ66" s="134" t="s">
        <v>238</v>
      </c>
    </row>
    <row r="67" spans="2:36" ht="15" customHeight="1" x14ac:dyDescent="0.25">
      <c r="AH67" s="23"/>
    </row>
    <row r="68" spans="2:36" ht="27" customHeight="1" x14ac:dyDescent="0.3">
      <c r="B68" s="63" t="s">
        <v>370</v>
      </c>
      <c r="C68" s="63"/>
      <c r="D68" s="63"/>
      <c r="E68" s="63"/>
      <c r="AG68" s="144">
        <f>AVERAGE(AG11:AG66)</f>
        <v>0</v>
      </c>
      <c r="AH68" s="35">
        <f>AVERAGE(AH11:AH66)</f>
        <v>0</v>
      </c>
    </row>
    <row r="69" spans="2:36" ht="15" customHeight="1" x14ac:dyDescent="0.25"/>
    <row r="70" spans="2:36" ht="15" hidden="1" customHeight="1" x14ac:dyDescent="0.25"/>
    <row r="71" spans="2:36" ht="15" hidden="1" customHeight="1" x14ac:dyDescent="0.25"/>
    <row r="72" spans="2:36" ht="15" hidden="1" customHeight="1" x14ac:dyDescent="0.25"/>
    <row r="73" spans="2:36" x14ac:dyDescent="0.25"/>
    <row r="74" spans="2:36" x14ac:dyDescent="0.25"/>
    <row r="75" spans="2:36" x14ac:dyDescent="0.25"/>
  </sheetData>
  <mergeCells count="32">
    <mergeCell ref="AH61:AH66"/>
    <mergeCell ref="B68:E68"/>
    <mergeCell ref="G2:AG3"/>
    <mergeCell ref="G4:AG4"/>
    <mergeCell ref="AH2:AJ2"/>
    <mergeCell ref="AH3:AJ3"/>
    <mergeCell ref="AH4:AJ4"/>
    <mergeCell ref="AH11:AH14"/>
    <mergeCell ref="AH15:AH18"/>
    <mergeCell ref="AH22:AH25"/>
    <mergeCell ref="AH58:AH60"/>
    <mergeCell ref="AH19:AH21"/>
    <mergeCell ref="AH26:AH29"/>
    <mergeCell ref="AH30:AH32"/>
    <mergeCell ref="AH33:AH37"/>
    <mergeCell ref="AH38:AH43"/>
    <mergeCell ref="AH44:AH50"/>
    <mergeCell ref="AH51:AH57"/>
    <mergeCell ref="B2:F4"/>
    <mergeCell ref="AA9:AC9"/>
    <mergeCell ref="E6:Q6"/>
    <mergeCell ref="S6:AJ6"/>
    <mergeCell ref="E7:Q7"/>
    <mergeCell ref="S7:AJ7"/>
    <mergeCell ref="B9:G9"/>
    <mergeCell ref="H9:Q9"/>
    <mergeCell ref="R9:T9"/>
    <mergeCell ref="U9:W9"/>
    <mergeCell ref="X9:Z9"/>
    <mergeCell ref="AD9:AF9"/>
    <mergeCell ref="AG9:AH9"/>
    <mergeCell ref="AI9:AJ9"/>
  </mergeCells>
  <dataValidations disablePrompts="1" count="1">
    <dataValidation type="list" allowBlank="1" showErrorMessage="1" sqref="M32:M37 M44 M15:M29 M58:M66" xr:uid="{23EBCE1F-25AF-465A-895B-D9F384F7C2D6}">
      <formula1>#REF!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8682-8CDD-4040-8491-81CEFD668439}">
  <dimension ref="A1:F10"/>
  <sheetViews>
    <sheetView showGridLines="0" topLeftCell="A3" workbookViewId="0">
      <selection activeCell="E8" sqref="E8"/>
    </sheetView>
  </sheetViews>
  <sheetFormatPr baseColWidth="10" defaultColWidth="0" defaultRowHeight="14.25" customHeight="1" zeroHeight="1" x14ac:dyDescent="0.2"/>
  <cols>
    <col min="1" max="1" width="3.42578125" style="146" customWidth="1"/>
    <col min="2" max="2" width="43" style="146" customWidth="1"/>
    <col min="3" max="5" width="26.85546875" style="146" customWidth="1"/>
    <col min="6" max="6" width="3.85546875" style="146" customWidth="1"/>
    <col min="7" max="16384" width="11.42578125" style="146" hidden="1"/>
  </cols>
  <sheetData>
    <row r="1" spans="2:5" x14ac:dyDescent="0.2"/>
    <row r="2" spans="2:5" x14ac:dyDescent="0.2"/>
    <row r="3" spans="2:5" ht="15" thickBot="1" x14ac:dyDescent="0.25"/>
    <row r="4" spans="2:5" ht="45.75" thickBot="1" x14ac:dyDescent="0.25">
      <c r="B4" s="147" t="s">
        <v>439</v>
      </c>
      <c r="C4" s="147" t="s">
        <v>440</v>
      </c>
      <c r="D4" s="147" t="s">
        <v>441</v>
      </c>
      <c r="E4" s="147" t="s">
        <v>442</v>
      </c>
    </row>
    <row r="5" spans="2:5" ht="29.25" customHeight="1" x14ac:dyDescent="0.2">
      <c r="B5" s="148" t="s">
        <v>443</v>
      </c>
      <c r="C5" s="149" t="s">
        <v>444</v>
      </c>
      <c r="D5" s="150">
        <v>42767</v>
      </c>
      <c r="E5" s="151">
        <v>1</v>
      </c>
    </row>
    <row r="6" spans="2:5" ht="29.25" customHeight="1" x14ac:dyDescent="0.2">
      <c r="B6" s="152" t="s">
        <v>445</v>
      </c>
      <c r="C6" s="153" t="s">
        <v>446</v>
      </c>
      <c r="D6" s="154">
        <v>42947</v>
      </c>
      <c r="E6" s="155">
        <v>2</v>
      </c>
    </row>
    <row r="7" spans="2:5" ht="78" customHeight="1" x14ac:dyDescent="0.2">
      <c r="B7" s="152" t="s">
        <v>447</v>
      </c>
      <c r="C7" s="153" t="s">
        <v>448</v>
      </c>
      <c r="D7" s="154">
        <v>44119</v>
      </c>
      <c r="E7" s="155">
        <v>2</v>
      </c>
    </row>
    <row r="8" spans="2:5" ht="90.75" customHeight="1" thickBot="1" x14ac:dyDescent="0.25">
      <c r="B8" s="156" t="s">
        <v>449</v>
      </c>
      <c r="C8" s="157" t="s">
        <v>450</v>
      </c>
      <c r="D8" s="158">
        <v>45076</v>
      </c>
      <c r="E8" s="159">
        <v>3</v>
      </c>
    </row>
    <row r="9" spans="2:5" x14ac:dyDescent="0.2"/>
    <row r="10" spans="2:5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2026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Vargas Rodriguez</dc:creator>
  <dc:description/>
  <cp:lastModifiedBy>Alejandra Vargas Rodriguez</cp:lastModifiedBy>
  <cp:revision>1</cp:revision>
  <cp:lastPrinted>2024-04-15T15:12:15Z</cp:lastPrinted>
  <dcterms:created xsi:type="dcterms:W3CDTF">2021-12-01T18:51:22Z</dcterms:created>
  <dcterms:modified xsi:type="dcterms:W3CDTF">2026-01-29T21:51:16Z</dcterms:modified>
  <dc:language>es-419</dc:language>
</cp:coreProperties>
</file>