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mainserver2\SGC\01_PROCESOS ESTRATEGICOS\DIRECCIONAMIENTO ESTRATÉGICO\05_PLANES\PLAN DE ACCION\2025\SEGUIMIENTOS\"/>
    </mc:Choice>
  </mc:AlternateContent>
  <xr:revisionPtr revIDLastSave="0" documentId="8_{EA1FFB80-D7D1-4F97-BE47-5C470940906E}" xr6:coauthVersionLast="47" xr6:coauthVersionMax="47" xr10:uidLastSave="{00000000-0000-0000-0000-000000000000}"/>
  <bookViews>
    <workbookView xWindow="-120" yWindow="-120" windowWidth="29040" windowHeight="15840" tabRatio="500" activeTab="1" xr2:uid="{00000000-000D-0000-FFFF-FFFF00000000}"/>
  </bookViews>
  <sheets>
    <sheet name="Plan de acción 2025" sheetId="1" r:id="rId1"/>
    <sheet name="Cumplimiento 2025" sheetId="2" r:id="rId2"/>
    <sheet name="Direccionamiento Estrategico" sheetId="3" r:id="rId3"/>
    <sheet name="Atención al Cliente" sheetId="4" r:id="rId4"/>
    <sheet name="Bienestar" sheetId="5" r:id="rId5"/>
    <sheet name="Crédito" sheetId="6" r:id="rId6"/>
    <sheet name="Cartera" sheetId="7" r:id="rId7"/>
    <sheet name="Gestión Contractual" sheetId="8" r:id="rId8"/>
    <sheet name="Gestión de la Información" sheetId="9" r:id="rId9"/>
    <sheet name="Gestión de Recursos Físicos" sheetId="10" r:id="rId10"/>
    <sheet name="Gestión de Talento Humano" sheetId="11" r:id="rId11"/>
    <sheet name="Gestión Financiera" sheetId="12" r:id="rId12"/>
    <sheet name="Gestión Jurídica" sheetId="13" r:id="rId13"/>
    <sheet name="Gestion del Mejoramiento" sheetId="14" r:id="rId14"/>
  </sheets>
  <externalReferences>
    <externalReference r:id="rId15"/>
  </externalReferences>
  <calcPr calcId="191029"/>
</workbook>
</file>

<file path=xl/calcChain.xml><?xml version="1.0" encoding="utf-8"?>
<calcChain xmlns="http://schemas.openxmlformats.org/spreadsheetml/2006/main">
  <c r="AG68" i="1" l="1"/>
  <c r="AH25" i="1"/>
  <c r="AH22" i="1"/>
  <c r="AH19" i="1"/>
  <c r="C8" i="5"/>
  <c r="C6" i="5"/>
  <c r="C7" i="5" s="1"/>
  <c r="I5" i="14"/>
  <c r="I6" i="14"/>
  <c r="I7" i="14"/>
  <c r="I8" i="14"/>
  <c r="I9" i="14"/>
  <c r="I4" i="14"/>
  <c r="F5" i="14"/>
  <c r="D5" i="14"/>
  <c r="B5" i="14"/>
  <c r="B6" i="14"/>
  <c r="B7" i="14"/>
  <c r="B8" i="14"/>
  <c r="B9" i="14"/>
  <c r="B4" i="14"/>
  <c r="I5" i="13"/>
  <c r="I6" i="13"/>
  <c r="I4" i="13"/>
  <c r="E5" i="13"/>
  <c r="E6" i="13"/>
  <c r="C5" i="13"/>
  <c r="C7" i="13" s="1"/>
  <c r="C6" i="13"/>
  <c r="B5" i="13"/>
  <c r="B6" i="13"/>
  <c r="B4" i="13"/>
  <c r="I5" i="12"/>
  <c r="I6" i="12"/>
  <c r="I7" i="12"/>
  <c r="I8" i="12"/>
  <c r="I9" i="12"/>
  <c r="I10" i="12"/>
  <c r="I4" i="12"/>
  <c r="B5" i="12"/>
  <c r="B6" i="12"/>
  <c r="B7" i="12"/>
  <c r="B8" i="12"/>
  <c r="B9" i="12"/>
  <c r="B10" i="12"/>
  <c r="B4" i="12"/>
  <c r="I5" i="11"/>
  <c r="I6" i="11"/>
  <c r="I7" i="11"/>
  <c r="I8" i="11"/>
  <c r="I9" i="11"/>
  <c r="I10" i="11"/>
  <c r="I11" i="11"/>
  <c r="I4" i="11"/>
  <c r="F9" i="11"/>
  <c r="F11" i="11"/>
  <c r="E10" i="11"/>
  <c r="D9" i="11"/>
  <c r="D10" i="11"/>
  <c r="D11" i="11"/>
  <c r="C10" i="11"/>
  <c r="B5" i="11"/>
  <c r="B6" i="11"/>
  <c r="B7" i="11"/>
  <c r="B8" i="11"/>
  <c r="B9" i="11"/>
  <c r="B10" i="11"/>
  <c r="B11" i="11"/>
  <c r="B4" i="11"/>
  <c r="I5" i="10"/>
  <c r="I6" i="10"/>
  <c r="I7" i="10"/>
  <c r="I8" i="10"/>
  <c r="I9" i="10"/>
  <c r="I4" i="10"/>
  <c r="E5" i="10"/>
  <c r="E7" i="10"/>
  <c r="C5" i="10"/>
  <c r="C7" i="10"/>
  <c r="B5" i="10"/>
  <c r="B6" i="10"/>
  <c r="B7" i="10"/>
  <c r="B8" i="10"/>
  <c r="B9" i="10"/>
  <c r="B4" i="10"/>
  <c r="AH68" i="1" l="1"/>
  <c r="I8" i="9"/>
  <c r="I5" i="9"/>
  <c r="I6" i="9"/>
  <c r="I7" i="9"/>
  <c r="I4" i="9"/>
  <c r="E7" i="9"/>
  <c r="C7" i="9"/>
  <c r="B5" i="9"/>
  <c r="B6" i="9"/>
  <c r="B7" i="9"/>
  <c r="B8" i="9"/>
  <c r="B4" i="9"/>
  <c r="I5" i="8"/>
  <c r="I6" i="8"/>
  <c r="I4" i="8"/>
  <c r="B5" i="8"/>
  <c r="B6" i="8"/>
  <c r="B4" i="8"/>
  <c r="L6" i="8"/>
  <c r="K6" i="8"/>
  <c r="J6" i="8"/>
  <c r="L5" i="8"/>
  <c r="K5" i="8"/>
  <c r="J5" i="8"/>
  <c r="L4" i="8"/>
  <c r="K4" i="8"/>
  <c r="J4" i="8"/>
  <c r="I5" i="7"/>
  <c r="I6" i="7"/>
  <c r="I7" i="7"/>
  <c r="I4" i="7"/>
  <c r="B5" i="7"/>
  <c r="B6" i="7"/>
  <c r="B7" i="7"/>
  <c r="B4" i="7"/>
  <c r="I5" i="6"/>
  <c r="I6" i="6"/>
  <c r="I4" i="6"/>
  <c r="B5" i="6"/>
  <c r="B6" i="6"/>
  <c r="B4" i="6"/>
  <c r="I5" i="5"/>
  <c r="I6" i="5"/>
  <c r="I4" i="5"/>
  <c r="F6" i="5"/>
  <c r="E6" i="5"/>
  <c r="B5" i="5"/>
  <c r="B6" i="5"/>
  <c r="B4" i="5"/>
  <c r="I5" i="4"/>
  <c r="I6" i="4"/>
  <c r="I7" i="4"/>
  <c r="I4" i="4"/>
  <c r="B5" i="3"/>
  <c r="B6" i="3"/>
  <c r="B7" i="3"/>
  <c r="B4" i="3"/>
  <c r="B5" i="4"/>
  <c r="B6" i="4"/>
  <c r="B7" i="4"/>
  <c r="B4" i="4"/>
  <c r="I5" i="3"/>
  <c r="I6" i="3"/>
  <c r="I7" i="3"/>
  <c r="I4" i="3"/>
  <c r="F4" i="3"/>
  <c r="E5" i="3"/>
  <c r="D4" i="3"/>
  <c r="C5" i="3"/>
  <c r="C4" i="3"/>
  <c r="W48" i="1" l="1"/>
  <c r="C9" i="11" s="1"/>
  <c r="W45" i="1"/>
  <c r="C6" i="11" s="1"/>
  <c r="U16" i="1" l="1"/>
  <c r="U15" i="1"/>
  <c r="V56" i="1" l="1"/>
  <c r="U56" i="1"/>
  <c r="V55" i="1"/>
  <c r="U55" i="1"/>
  <c r="U52" i="1"/>
  <c r="V52" i="1"/>
  <c r="U51" i="1"/>
  <c r="V51" i="1"/>
  <c r="W43" i="1"/>
  <c r="C4" i="11" s="1"/>
  <c r="U28" i="1" l="1"/>
  <c r="U27" i="1" l="1"/>
  <c r="U26" i="1"/>
  <c r="W26" i="1" s="1"/>
  <c r="C5" i="7" s="1"/>
  <c r="W23" i="1" l="1"/>
  <c r="C5" i="6" s="1"/>
  <c r="AF59" i="1"/>
  <c r="F5" i="13" s="1"/>
  <c r="W37" i="1"/>
  <c r="C4" i="10" s="1"/>
  <c r="AF28" i="1"/>
  <c r="F7" i="7" s="1"/>
  <c r="AC28" i="1"/>
  <c r="E7" i="7" s="1"/>
  <c r="Z28" i="1"/>
  <c r="D7" i="7" s="1"/>
  <c r="W28" i="1"/>
  <c r="C7" i="7" s="1"/>
  <c r="AF27" i="1"/>
  <c r="F6" i="7" s="1"/>
  <c r="AC27" i="1"/>
  <c r="E6" i="7" s="1"/>
  <c r="Z27" i="1"/>
  <c r="D6" i="7" s="1"/>
  <c r="W27" i="1"/>
  <c r="C6" i="7" s="1"/>
  <c r="G6" i="7" s="1"/>
  <c r="AF26" i="1"/>
  <c r="F5" i="7" s="1"/>
  <c r="AC26" i="1"/>
  <c r="E5" i="7" s="1"/>
  <c r="Z26" i="1"/>
  <c r="D5" i="7" s="1"/>
  <c r="G5" i="7" s="1"/>
  <c r="AF25" i="1"/>
  <c r="F4" i="7" s="1"/>
  <c r="AC25" i="1"/>
  <c r="E4" i="7" s="1"/>
  <c r="E8" i="7" s="1"/>
  <c r="G6" i="2" s="1"/>
  <c r="G16" i="2" s="1"/>
  <c r="Z25" i="1"/>
  <c r="D4" i="7" s="1"/>
  <c r="W25" i="1"/>
  <c r="C4" i="7" s="1"/>
  <c r="C8" i="7" s="1"/>
  <c r="G4" i="2" s="1"/>
  <c r="W24" i="1"/>
  <c r="C6" i="6" s="1"/>
  <c r="AF17" i="1"/>
  <c r="F6" i="4" s="1"/>
  <c r="AC17" i="1"/>
  <c r="E6" i="4" s="1"/>
  <c r="Z17" i="1"/>
  <c r="D6" i="4" s="1"/>
  <c r="W17" i="1"/>
  <c r="C6" i="4" s="1"/>
  <c r="AF29" i="1"/>
  <c r="F4" i="8" s="1"/>
  <c r="AC29" i="1"/>
  <c r="E4" i="8" s="1"/>
  <c r="Z29" i="1"/>
  <c r="D4" i="8" s="1"/>
  <c r="W29" i="1"/>
  <c r="C4" i="8" s="1"/>
  <c r="AF30" i="1"/>
  <c r="F5" i="8" s="1"/>
  <c r="AC30" i="1"/>
  <c r="E5" i="8" s="1"/>
  <c r="Z30" i="1"/>
  <c r="D5" i="8" s="1"/>
  <c r="W30" i="1"/>
  <c r="C5" i="8" s="1"/>
  <c r="AF40" i="1"/>
  <c r="F7" i="10" s="1"/>
  <c r="Z40" i="1"/>
  <c r="D7" i="10" s="1"/>
  <c r="AF38" i="1"/>
  <c r="F5" i="10" s="1"/>
  <c r="Z38" i="1"/>
  <c r="D5" i="10" s="1"/>
  <c r="AF37" i="1"/>
  <c r="F4" i="10" s="1"/>
  <c r="AC37" i="1"/>
  <c r="E4" i="10" s="1"/>
  <c r="Z37" i="1"/>
  <c r="G5" i="10" l="1"/>
  <c r="G10" i="10" s="1"/>
  <c r="G5" i="8"/>
  <c r="G4" i="8"/>
  <c r="G6" i="4"/>
  <c r="F8" i="7"/>
  <c r="G7" i="2" s="1"/>
  <c r="G17" i="2" s="1"/>
  <c r="G4" i="10"/>
  <c r="D4" i="10"/>
  <c r="AG37" i="1"/>
  <c r="G8" i="2"/>
  <c r="G14" i="2"/>
  <c r="G7" i="7"/>
  <c r="G7" i="10"/>
  <c r="G4" i="7"/>
  <c r="G8" i="7" s="1"/>
  <c r="D8" i="7"/>
  <c r="G5" i="2" s="1"/>
  <c r="G15" i="2" s="1"/>
  <c r="AG30" i="1"/>
  <c r="AF51" i="1"/>
  <c r="F4" i="12" s="1"/>
  <c r="AC51" i="1"/>
  <c r="E4" i="12" s="1"/>
  <c r="Z51" i="1"/>
  <c r="D4" i="12" s="1"/>
  <c r="W51" i="1"/>
  <c r="C4" i="12" s="1"/>
  <c r="AF57" i="1"/>
  <c r="F10" i="12" s="1"/>
  <c r="AC57" i="1"/>
  <c r="E10" i="12" s="1"/>
  <c r="Z57" i="1"/>
  <c r="D10" i="12" s="1"/>
  <c r="W57" i="1"/>
  <c r="C10" i="12" s="1"/>
  <c r="AF56" i="1"/>
  <c r="F9" i="12" s="1"/>
  <c r="AC56" i="1"/>
  <c r="E9" i="12" s="1"/>
  <c r="Z56" i="1"/>
  <c r="D9" i="12" s="1"/>
  <c r="W56" i="1"/>
  <c r="C9" i="12" s="1"/>
  <c r="G10" i="12" l="1"/>
  <c r="G4" i="12"/>
  <c r="G9" i="12"/>
  <c r="G18" i="2"/>
  <c r="AG56" i="1"/>
  <c r="AF36" i="1"/>
  <c r="F8" i="9" s="1"/>
  <c r="AC36" i="1"/>
  <c r="E8" i="9" s="1"/>
  <c r="Z36" i="1"/>
  <c r="D8" i="9" s="1"/>
  <c r="W36" i="1"/>
  <c r="C8" i="9" s="1"/>
  <c r="AF35" i="1"/>
  <c r="F7" i="9" s="1"/>
  <c r="F9" i="9" s="1"/>
  <c r="I7" i="2" s="1"/>
  <c r="I17" i="2" s="1"/>
  <c r="Z35" i="1"/>
  <c r="AF34" i="1"/>
  <c r="F6" i="9" s="1"/>
  <c r="AC34" i="1"/>
  <c r="E6" i="9" s="1"/>
  <c r="Z34" i="1"/>
  <c r="D6" i="9" s="1"/>
  <c r="W34" i="1"/>
  <c r="C6" i="9" s="1"/>
  <c r="AF33" i="1"/>
  <c r="F5" i="9" s="1"/>
  <c r="AC33" i="1"/>
  <c r="E5" i="9" s="1"/>
  <c r="Z33" i="1"/>
  <c r="D5" i="9" s="1"/>
  <c r="W33" i="1"/>
  <c r="C5" i="9" s="1"/>
  <c r="AF32" i="1"/>
  <c r="F4" i="9" s="1"/>
  <c r="AC32" i="1"/>
  <c r="E4" i="9" s="1"/>
  <c r="E9" i="9" s="1"/>
  <c r="I6" i="2" s="1"/>
  <c r="I16" i="2" s="1"/>
  <c r="Z32" i="1"/>
  <c r="D4" i="9" s="1"/>
  <c r="W32" i="1"/>
  <c r="C4" i="9" s="1"/>
  <c r="AC50" i="1"/>
  <c r="E11" i="11" s="1"/>
  <c r="W50" i="1"/>
  <c r="C11" i="11" s="1"/>
  <c r="G11" i="11" s="1"/>
  <c r="G8" i="9" l="1"/>
  <c r="C9" i="9"/>
  <c r="G4" i="9"/>
  <c r="G5" i="9"/>
  <c r="G6" i="9"/>
  <c r="D7" i="9"/>
  <c r="AG35" i="1"/>
  <c r="W46" i="1"/>
  <c r="C7" i="11" s="1"/>
  <c r="AF24" i="1"/>
  <c r="F6" i="6" s="1"/>
  <c r="AC24" i="1"/>
  <c r="E6" i="6" s="1"/>
  <c r="Z24" i="1"/>
  <c r="D6" i="6" s="1"/>
  <c r="G6" i="6" s="1"/>
  <c r="AF23" i="1"/>
  <c r="F5" i="6" s="1"/>
  <c r="AC23" i="1"/>
  <c r="E5" i="6" s="1"/>
  <c r="Z23" i="1"/>
  <c r="D5" i="6" s="1"/>
  <c r="AF21" i="1"/>
  <c r="Z21" i="1"/>
  <c r="D6" i="5" s="1"/>
  <c r="G6" i="5" s="1"/>
  <c r="AF20" i="1"/>
  <c r="F5" i="5" s="1"/>
  <c r="AC20" i="1"/>
  <c r="E5" i="5" s="1"/>
  <c r="Z20" i="1"/>
  <c r="D5" i="5" s="1"/>
  <c r="W20" i="1"/>
  <c r="C5" i="5" s="1"/>
  <c r="AF19" i="1"/>
  <c r="F4" i="5" s="1"/>
  <c r="F7" i="5" s="1"/>
  <c r="E7" i="2" s="1"/>
  <c r="E17" i="2" s="1"/>
  <c r="AC19" i="1"/>
  <c r="E4" i="5" s="1"/>
  <c r="Z19" i="1"/>
  <c r="D4" i="5" s="1"/>
  <c r="D7" i="5" s="1"/>
  <c r="E5" i="2" s="1"/>
  <c r="E15" i="2" s="1"/>
  <c r="W19" i="1"/>
  <c r="C4" i="5" s="1"/>
  <c r="AF18" i="1"/>
  <c r="F7" i="4" s="1"/>
  <c r="AC18" i="1"/>
  <c r="E7" i="4" s="1"/>
  <c r="Z18" i="1"/>
  <c r="D7" i="4" s="1"/>
  <c r="W18" i="1"/>
  <c r="C7" i="4" s="1"/>
  <c r="E7" i="5" l="1"/>
  <c r="E6" i="2" s="1"/>
  <c r="E16" i="2" s="1"/>
  <c r="G5" i="6"/>
  <c r="D9" i="9"/>
  <c r="G7" i="9"/>
  <c r="G9" i="9" s="1"/>
  <c r="I4" i="2"/>
  <c r="I14" i="2"/>
  <c r="G7" i="4"/>
  <c r="G4" i="5"/>
  <c r="E4" i="2"/>
  <c r="G5" i="5"/>
  <c r="AC11" i="1"/>
  <c r="E4" i="3" s="1"/>
  <c r="E8" i="2" l="1"/>
  <c r="E14" i="2"/>
  <c r="E18" i="2" s="1"/>
  <c r="G7" i="5"/>
  <c r="G4" i="3"/>
  <c r="I15" i="2"/>
  <c r="I18" i="2" s="1"/>
  <c r="I5" i="2"/>
  <c r="I8" i="2" s="1"/>
  <c r="AG25" i="1"/>
  <c r="AG11" i="1" l="1"/>
  <c r="AF60" i="1" l="1"/>
  <c r="F6" i="13" s="1"/>
  <c r="Z60" i="1"/>
  <c r="D6" i="13" s="1"/>
  <c r="G6" i="13" s="1"/>
  <c r="AF46" i="1"/>
  <c r="F7" i="11" s="1"/>
  <c r="AC46" i="1"/>
  <c r="E7" i="11" s="1"/>
  <c r="Z46" i="1"/>
  <c r="D7" i="11" s="1"/>
  <c r="AF66" i="1"/>
  <c r="F9" i="14" s="1"/>
  <c r="AC66" i="1"/>
  <c r="E9" i="14" s="1"/>
  <c r="Z66" i="1"/>
  <c r="D9" i="14" s="1"/>
  <c r="W66" i="1"/>
  <c r="C9" i="14" s="1"/>
  <c r="AF65" i="1"/>
  <c r="F8" i="14" s="1"/>
  <c r="AC65" i="1"/>
  <c r="E8" i="14" s="1"/>
  <c r="Z65" i="1"/>
  <c r="D8" i="14" s="1"/>
  <c r="W65" i="1"/>
  <c r="C8" i="14" s="1"/>
  <c r="AF64" i="1"/>
  <c r="F7" i="14" s="1"/>
  <c r="AC64" i="1"/>
  <c r="E7" i="14" s="1"/>
  <c r="Z64" i="1"/>
  <c r="D7" i="14" s="1"/>
  <c r="W64" i="1"/>
  <c r="C7" i="14" s="1"/>
  <c r="AF63" i="1"/>
  <c r="F6" i="14" s="1"/>
  <c r="AC63" i="1"/>
  <c r="E6" i="14" s="1"/>
  <c r="Z63" i="1"/>
  <c r="D6" i="14" s="1"/>
  <c r="W63" i="1"/>
  <c r="C6" i="14" s="1"/>
  <c r="AC62" i="1"/>
  <c r="E5" i="14" s="1"/>
  <c r="W62" i="1"/>
  <c r="AF61" i="1"/>
  <c r="F4" i="14" s="1"/>
  <c r="F10" i="14" s="1"/>
  <c r="N7" i="2" s="1"/>
  <c r="N17" i="2" s="1"/>
  <c r="AC61" i="1"/>
  <c r="E4" i="14" s="1"/>
  <c r="E10" i="14" s="1"/>
  <c r="N6" i="2" s="1"/>
  <c r="N16" i="2" s="1"/>
  <c r="Z61" i="1"/>
  <c r="D4" i="14" s="1"/>
  <c r="W61" i="1"/>
  <c r="C4" i="14" s="1"/>
  <c r="Z59" i="1"/>
  <c r="AF58" i="1"/>
  <c r="F4" i="13" s="1"/>
  <c r="F7" i="13" s="1"/>
  <c r="M7" i="2" s="1"/>
  <c r="M17" i="2" s="1"/>
  <c r="AC58" i="1"/>
  <c r="E4" i="13" s="1"/>
  <c r="E7" i="13" s="1"/>
  <c r="M6" i="2" s="1"/>
  <c r="M16" i="2" s="1"/>
  <c r="Z58" i="1"/>
  <c r="D4" i="13" s="1"/>
  <c r="W58" i="1"/>
  <c r="C4" i="13" s="1"/>
  <c r="AF55" i="1"/>
  <c r="F8" i="12" s="1"/>
  <c r="AC55" i="1"/>
  <c r="E8" i="12" s="1"/>
  <c r="Z55" i="1"/>
  <c r="D8" i="12" s="1"/>
  <c r="W55" i="1"/>
  <c r="C8" i="12" s="1"/>
  <c r="G8" i="12" s="1"/>
  <c r="AF54" i="1"/>
  <c r="F7" i="12" s="1"/>
  <c r="AC54" i="1"/>
  <c r="E7" i="12" s="1"/>
  <c r="Z54" i="1"/>
  <c r="D7" i="12" s="1"/>
  <c r="W54" i="1"/>
  <c r="C7" i="12" s="1"/>
  <c r="G7" i="12" s="1"/>
  <c r="AF53" i="1"/>
  <c r="F6" i="12" s="1"/>
  <c r="AC53" i="1"/>
  <c r="E6" i="12" s="1"/>
  <c r="Z53" i="1"/>
  <c r="D6" i="12" s="1"/>
  <c r="W53" i="1"/>
  <c r="C6" i="12" s="1"/>
  <c r="G6" i="12" s="1"/>
  <c r="AF52" i="1"/>
  <c r="F5" i="12" s="1"/>
  <c r="F11" i="12" s="1"/>
  <c r="L7" i="2" s="1"/>
  <c r="L17" i="2" s="1"/>
  <c r="AC52" i="1"/>
  <c r="E5" i="12" s="1"/>
  <c r="E11" i="12" s="1"/>
  <c r="L6" i="2" s="1"/>
  <c r="L16" i="2" s="1"/>
  <c r="Z52" i="1"/>
  <c r="D5" i="12" s="1"/>
  <c r="D11" i="12" s="1"/>
  <c r="L5" i="2" s="1"/>
  <c r="L15" i="2" s="1"/>
  <c r="W52" i="1"/>
  <c r="C5" i="12" s="1"/>
  <c r="AF49" i="1"/>
  <c r="F10" i="11" s="1"/>
  <c r="G10" i="11" s="1"/>
  <c r="AC48" i="1"/>
  <c r="AF47" i="1"/>
  <c r="F8" i="11" s="1"/>
  <c r="AC47" i="1"/>
  <c r="E8" i="11" s="1"/>
  <c r="Z47" i="1"/>
  <c r="D8" i="11" s="1"/>
  <c r="W47" i="1"/>
  <c r="C8" i="11" s="1"/>
  <c r="AF45" i="1"/>
  <c r="F6" i="11" s="1"/>
  <c r="AC45" i="1"/>
  <c r="E6" i="11" s="1"/>
  <c r="Z45" i="1"/>
  <c r="D6" i="11" s="1"/>
  <c r="AF44" i="1"/>
  <c r="F5" i="11" s="1"/>
  <c r="AC44" i="1"/>
  <c r="E5" i="11" s="1"/>
  <c r="Z44" i="1"/>
  <c r="D5" i="11" s="1"/>
  <c r="W44" i="1"/>
  <c r="C5" i="11" s="1"/>
  <c r="AF43" i="1"/>
  <c r="F4" i="11" s="1"/>
  <c r="F12" i="11" s="1"/>
  <c r="K7" i="2" s="1"/>
  <c r="K17" i="2" s="1"/>
  <c r="AC43" i="1"/>
  <c r="E4" i="11" s="1"/>
  <c r="Z43" i="1"/>
  <c r="AF42" i="1"/>
  <c r="F9" i="10" s="1"/>
  <c r="AC42" i="1"/>
  <c r="E9" i="10" s="1"/>
  <c r="Z42" i="1"/>
  <c r="D9" i="10" s="1"/>
  <c r="W42" i="1"/>
  <c r="C9" i="10" s="1"/>
  <c r="AF41" i="1"/>
  <c r="F8" i="10" s="1"/>
  <c r="AC41" i="1"/>
  <c r="E8" i="10" s="1"/>
  <c r="Z41" i="1"/>
  <c r="D8" i="10" s="1"/>
  <c r="W41" i="1"/>
  <c r="C8" i="10" s="1"/>
  <c r="G8" i="10" s="1"/>
  <c r="AF39" i="1"/>
  <c r="F6" i="10" s="1"/>
  <c r="F10" i="10" s="1"/>
  <c r="J7" i="2" s="1"/>
  <c r="J17" i="2" s="1"/>
  <c r="AC39" i="1"/>
  <c r="E6" i="10" s="1"/>
  <c r="E10" i="10" s="1"/>
  <c r="J6" i="2" s="1"/>
  <c r="J16" i="2" s="1"/>
  <c r="Z39" i="1"/>
  <c r="D6" i="10" s="1"/>
  <c r="D10" i="10" s="1"/>
  <c r="J5" i="2" s="1"/>
  <c r="J15" i="2" s="1"/>
  <c r="W39" i="1"/>
  <c r="C6" i="10" s="1"/>
  <c r="G6" i="10" s="1"/>
  <c r="AF31" i="1"/>
  <c r="F6" i="8" s="1"/>
  <c r="F7" i="8" s="1"/>
  <c r="AC31" i="1"/>
  <c r="E6" i="8" s="1"/>
  <c r="E7" i="8" s="1"/>
  <c r="Z31" i="1"/>
  <c r="D6" i="8" s="1"/>
  <c r="D7" i="8" s="1"/>
  <c r="W31" i="1"/>
  <c r="C6" i="8" s="1"/>
  <c r="AF22" i="1"/>
  <c r="F4" i="6" s="1"/>
  <c r="F7" i="6" s="1"/>
  <c r="F7" i="2" s="1"/>
  <c r="F17" i="2" s="1"/>
  <c r="AC22" i="1"/>
  <c r="E4" i="6" s="1"/>
  <c r="E7" i="6" s="1"/>
  <c r="F6" i="2" s="1"/>
  <c r="F16" i="2" s="1"/>
  <c r="Z22" i="1"/>
  <c r="D4" i="6" s="1"/>
  <c r="D7" i="6" s="1"/>
  <c r="F5" i="2" s="1"/>
  <c r="F15" i="2" s="1"/>
  <c r="W22" i="1"/>
  <c r="C4" i="6" s="1"/>
  <c r="AE16" i="1"/>
  <c r="AB16" i="1"/>
  <c r="Y16" i="1"/>
  <c r="Z16" i="1" s="1"/>
  <c r="D5" i="4" s="1"/>
  <c r="V16" i="1"/>
  <c r="W16" i="1" s="1"/>
  <c r="C5" i="4" s="1"/>
  <c r="AE15" i="1"/>
  <c r="AB15" i="1"/>
  <c r="AC15" i="1" s="1"/>
  <c r="E4" i="4" s="1"/>
  <c r="Y15" i="1"/>
  <c r="Z15" i="1" s="1"/>
  <c r="D4" i="4" s="1"/>
  <c r="V15" i="1"/>
  <c r="W15" i="1" s="1"/>
  <c r="C4" i="4" s="1"/>
  <c r="AF14" i="1"/>
  <c r="F7" i="3" s="1"/>
  <c r="AC14" i="1"/>
  <c r="E7" i="3" s="1"/>
  <c r="Z14" i="1"/>
  <c r="D7" i="3" s="1"/>
  <c r="W14" i="1"/>
  <c r="C7" i="3" s="1"/>
  <c r="G7" i="3" s="1"/>
  <c r="AF13" i="1"/>
  <c r="F6" i="3" s="1"/>
  <c r="AC13" i="1"/>
  <c r="E6" i="3" s="1"/>
  <c r="E8" i="3" s="1"/>
  <c r="C6" i="2" s="1"/>
  <c r="C16" i="2" s="1"/>
  <c r="Z13" i="1"/>
  <c r="D6" i="3" s="1"/>
  <c r="W13" i="1"/>
  <c r="C6" i="3" s="1"/>
  <c r="AF12" i="1"/>
  <c r="F5" i="3" s="1"/>
  <c r="F8" i="3" s="1"/>
  <c r="C7" i="2" s="1"/>
  <c r="C17" i="2" s="1"/>
  <c r="Z12" i="1"/>
  <c r="C8" i="3" l="1"/>
  <c r="C4" i="2" s="1"/>
  <c r="G6" i="3"/>
  <c r="H15" i="2"/>
  <c r="H5" i="2"/>
  <c r="E12" i="11"/>
  <c r="K6" i="2" s="1"/>
  <c r="K16" i="2" s="1"/>
  <c r="G4" i="14"/>
  <c r="AG62" i="1"/>
  <c r="C5" i="14"/>
  <c r="G5" i="14" s="1"/>
  <c r="G9" i="14"/>
  <c r="C8" i="4"/>
  <c r="D4" i="2" s="1"/>
  <c r="G5" i="12"/>
  <c r="G11" i="12" s="1"/>
  <c r="C11" i="12"/>
  <c r="L4" i="2" s="1"/>
  <c r="AG59" i="1"/>
  <c r="D5" i="13"/>
  <c r="G5" i="13" s="1"/>
  <c r="H16" i="2"/>
  <c r="H6" i="2"/>
  <c r="E9" i="11"/>
  <c r="G9" i="11" s="1"/>
  <c r="AG48" i="1"/>
  <c r="D10" i="14"/>
  <c r="N5" i="2" s="1"/>
  <c r="N15" i="2" s="1"/>
  <c r="C7" i="6"/>
  <c r="F4" i="2" s="1"/>
  <c r="G4" i="6"/>
  <c r="G7" i="6" s="1"/>
  <c r="G6" i="8"/>
  <c r="G7" i="8" s="1"/>
  <c r="C7" i="8"/>
  <c r="D4" i="11"/>
  <c r="AG43" i="1"/>
  <c r="D8" i="4"/>
  <c r="D5" i="2" s="1"/>
  <c r="D15" i="2" s="1"/>
  <c r="AG12" i="1"/>
  <c r="D5" i="3"/>
  <c r="AF15" i="1"/>
  <c r="F4" i="4"/>
  <c r="H7" i="2"/>
  <c r="H17" i="2"/>
  <c r="G5" i="11"/>
  <c r="C12" i="11"/>
  <c r="K4" i="2" s="1"/>
  <c r="G6" i="11"/>
  <c r="G8" i="11"/>
  <c r="G6" i="14"/>
  <c r="G8" i="14"/>
  <c r="G7" i="11"/>
  <c r="M4" i="2"/>
  <c r="G4" i="13"/>
  <c r="G7" i="14"/>
  <c r="G9" i="10"/>
  <c r="C10" i="10"/>
  <c r="J4" i="2" s="1"/>
  <c r="AC16" i="1"/>
  <c r="E5" i="4" s="1"/>
  <c r="G5" i="4" s="1"/>
  <c r="AF16" i="1"/>
  <c r="F5" i="4" s="1"/>
  <c r="AG38" i="1"/>
  <c r="AG60" i="1"/>
  <c r="AG49" i="1"/>
  <c r="AG54" i="1"/>
  <c r="AG40" i="1"/>
  <c r="AG19" i="1"/>
  <c r="AG14" i="1"/>
  <c r="AG23" i="1"/>
  <c r="AG27" i="1"/>
  <c r="AG33" i="1"/>
  <c r="AG39" i="1"/>
  <c r="AG41" i="1"/>
  <c r="AG45" i="1"/>
  <c r="AG55" i="1"/>
  <c r="AG63" i="1"/>
  <c r="AG13" i="1"/>
  <c r="AG15" i="1"/>
  <c r="AG17" i="1"/>
  <c r="AG21" i="1"/>
  <c r="AG24" i="1"/>
  <c r="AG28" i="1"/>
  <c r="AG31" i="1"/>
  <c r="AG34" i="1"/>
  <c r="AG42" i="1"/>
  <c r="AG46" i="1"/>
  <c r="AG52" i="1"/>
  <c r="AG57" i="1"/>
  <c r="AG64" i="1"/>
  <c r="AG18" i="1"/>
  <c r="AG20" i="1"/>
  <c r="AG22" i="1"/>
  <c r="AG29" i="1"/>
  <c r="AG32" i="1"/>
  <c r="AG47" i="1"/>
  <c r="AG50" i="1"/>
  <c r="AG53" i="1"/>
  <c r="AG58" i="1"/>
  <c r="AG65" i="1"/>
  <c r="AG26" i="1"/>
  <c r="AG36" i="1"/>
  <c r="AG44" i="1"/>
  <c r="AG51" i="1"/>
  <c r="AG61" i="1"/>
  <c r="AG66" i="1"/>
  <c r="G7" i="13" l="1"/>
  <c r="C10" i="14"/>
  <c r="N4" i="2" s="1"/>
  <c r="N8" i="2" s="1"/>
  <c r="E8" i="4"/>
  <c r="D6" i="2" s="1"/>
  <c r="D16" i="2" s="1"/>
  <c r="D14" i="2"/>
  <c r="D8" i="2"/>
  <c r="F8" i="4"/>
  <c r="D7" i="2" s="1"/>
  <c r="D17" i="2" s="1"/>
  <c r="H4" i="2"/>
  <c r="H8" i="2" s="1"/>
  <c r="H14" i="2"/>
  <c r="H18" i="2" s="1"/>
  <c r="G10" i="14"/>
  <c r="K14" i="2"/>
  <c r="G5" i="3"/>
  <c r="G8" i="3" s="1"/>
  <c r="D8" i="3"/>
  <c r="C5" i="2" s="1"/>
  <c r="C15" i="2" s="1"/>
  <c r="D12" i="11"/>
  <c r="K5" i="2" s="1"/>
  <c r="K15" i="2" s="1"/>
  <c r="G4" i="11"/>
  <c r="G12" i="11" s="1"/>
  <c r="F14" i="2"/>
  <c r="F18" i="2" s="1"/>
  <c r="F8" i="2"/>
  <c r="L14" i="2"/>
  <c r="L18" i="2" s="1"/>
  <c r="L8" i="2"/>
  <c r="D7" i="13"/>
  <c r="M5" i="2" s="1"/>
  <c r="M15" i="2" s="1"/>
  <c r="G4" i="4"/>
  <c r="G8" i="4" s="1"/>
  <c r="C14" i="2"/>
  <c r="M14" i="2"/>
  <c r="M18" i="2" s="1"/>
  <c r="J8" i="2"/>
  <c r="J14" i="2"/>
  <c r="J18" i="2" s="1"/>
  <c r="AH51" i="1"/>
  <c r="AH43" i="1"/>
  <c r="AH32" i="1"/>
  <c r="AH37" i="1"/>
  <c r="AH61" i="1"/>
  <c r="AH29" i="1"/>
  <c r="AG16" i="1"/>
  <c r="AH15" i="1" s="1"/>
  <c r="AH11" i="1"/>
  <c r="AH58" i="1"/>
  <c r="N14" i="2" l="1"/>
  <c r="N18" i="2" s="1"/>
  <c r="C8" i="2"/>
  <c r="K18" i="2"/>
  <c r="D18" i="2"/>
  <c r="C18" i="2"/>
  <c r="K8" i="2"/>
  <c r="M8" i="2"/>
  <c r="O4" i="2" l="1"/>
</calcChain>
</file>

<file path=xl/sharedStrings.xml><?xml version="1.0" encoding="utf-8"?>
<sst xmlns="http://schemas.openxmlformats.org/spreadsheetml/2006/main" count="1340" uniqueCount="607">
  <si>
    <t>Proceso Estrategico
Direccionamiento Estrategico</t>
  </si>
  <si>
    <t>Plan de Acción</t>
  </si>
  <si>
    <t>Vigencia:</t>
  </si>
  <si>
    <t>PLAN DE DESARROLLO</t>
  </si>
  <si>
    <t>OBJETIVO ESTRATÉGICO INSTITUCIONAL</t>
  </si>
  <si>
    <t>Responsable:</t>
  </si>
  <si>
    <t>Equipo de Planeación</t>
  </si>
  <si>
    <t>GOBERNANDO: MÁS QUE UN PLAN!</t>
  </si>
  <si>
    <t>Establecer lineas de acción a corto, mediano y largo plazo que permitan cumplir con los compromisos y objetivos de la Entidad.</t>
  </si>
  <si>
    <t>INDICADORES</t>
  </si>
  <si>
    <t>FRECUENCIA</t>
  </si>
  <si>
    <t>MEDICIÓN 
TRIMESTRE I</t>
  </si>
  <si>
    <t>MEDICIÓN 
TRIMESTRE II</t>
  </si>
  <si>
    <t>MEDICIÓN 
TRIMESTRE III</t>
  </si>
  <si>
    <t>MEDICIÓN 
TRIMESTRE IV</t>
  </si>
  <si>
    <t>ITEM</t>
  </si>
  <si>
    <t>RELACIÓN CON LA POLÍTICA DE CALIDAD</t>
  </si>
  <si>
    <t>OBJETIVO DE CALIDAD</t>
  </si>
  <si>
    <t>PROCESO AL QUE PERTENENCE EN LA ENTIDAD</t>
  </si>
  <si>
    <t>RESPONSABLE</t>
  </si>
  <si>
    <t>DEPENDENCIA(S) ASOCIADA(S)</t>
  </si>
  <si>
    <t>ACTIVIDAD</t>
  </si>
  <si>
    <t>NOMBRE DEL INDICADOR</t>
  </si>
  <si>
    <t>PROPÓSITO DEL INDICADOR</t>
  </si>
  <si>
    <t>FÓRMULA</t>
  </si>
  <si>
    <t>UNIDAD DE MEDIDA</t>
  </si>
  <si>
    <t>TIPO DE INDICADOR</t>
  </si>
  <si>
    <t>LÍNEA BASE (PUNTO  DE PARTIDA)</t>
  </si>
  <si>
    <t>REFERENCIA PARA DEFINICIÓN DE LÍNEA BASE</t>
  </si>
  <si>
    <t>META 
(Qué se pretende lograr?)</t>
  </si>
  <si>
    <t>PONDERACIÓN DENTRO DEL PROCESO</t>
  </si>
  <si>
    <t>Cuándo se mide</t>
  </si>
  <si>
    <t>Cuándo inicia</t>
  </si>
  <si>
    <t>Cuándo finaliza</t>
  </si>
  <si>
    <t>EJECUTADO</t>
  </si>
  <si>
    <t>PROGRAMADO</t>
  </si>
  <si>
    <t>%CUMPLIMIENTO (1)</t>
  </si>
  <si>
    <t>%CUMPLIMIENTO (2)</t>
  </si>
  <si>
    <t>%CUMPLIMIENTO (3)</t>
  </si>
  <si>
    <t>%CUMPLIMIENTO (4)</t>
  </si>
  <si>
    <t>PORCENTAJE  DE CUMPLIMIENTO ACUMULADO (Total acumulado *100 / Meta).</t>
  </si>
  <si>
    <t>PORCENTAJE POR DEPENDENCIAS</t>
  </si>
  <si>
    <t>DIMENSIÓN DE MIPG</t>
  </si>
  <si>
    <t>POLITÍCA DE LA DIMENSIÓN</t>
  </si>
  <si>
    <t>Mejora el Sistema de Gestión de
Calidad y asegura su integración con el Modelo Integrado de Planeación y
Gestión.</t>
  </si>
  <si>
    <t>Generar acciones de mejora continua para optimizar los procesos</t>
  </si>
  <si>
    <t>ESTRATÉGICO
Direccionamiento Estratégico</t>
  </si>
  <si>
    <t>Asesor de Gerencia 
(Grupo de Planeación)</t>
  </si>
  <si>
    <t>Gerencia
Planeación</t>
  </si>
  <si>
    <t>Seguimiento y consolidación del Formulario Único de Reporte de Avances de la Gestión "FURAG" y evaluación del Modelo Integrado de Planeación y Gestión  "MIPG"</t>
  </si>
  <si>
    <t>Evaluar el nivel de avance en el Modelo Integrado de Planeación y Gestión de la CSC</t>
  </si>
  <si>
    <t>Porcentaje</t>
  </si>
  <si>
    <t>Eficacia</t>
  </si>
  <si>
    <t>Anual</t>
  </si>
  <si>
    <t>N/A</t>
  </si>
  <si>
    <t>Direccionamiento estratégico y Planeación</t>
  </si>
  <si>
    <t>Planeación institucional</t>
  </si>
  <si>
    <t>Cantidad</t>
  </si>
  <si>
    <t>trimestral</t>
  </si>
  <si>
    <t>Seguimiento y publicación del plan de acción de la Corporación Social de Cundinamarca</t>
  </si>
  <si>
    <t>Efectividad al seguimiento del plan de acción</t>
  </si>
  <si>
    <t>Realizar el seguimiento, evaluación y publicación del Plan de acción CSC</t>
  </si>
  <si>
    <t xml:space="preserve">Número de seguimientos, evaluación y publicación del Plan de acción / Número de trimestres en el año </t>
  </si>
  <si>
    <t>Efectividad</t>
  </si>
  <si>
    <t>Trimestral</t>
  </si>
  <si>
    <t>Seguimiento y actualización al Sistema Único de Información de trámites -SUIT</t>
  </si>
  <si>
    <t>Realizar el seguimiento y actualización al Sistema de trámites de CSC</t>
  </si>
  <si>
    <t>Seguimientos programados por la Función pública a los trámites de la CSC / los programados</t>
  </si>
  <si>
    <t>Aumentar la felicidad y satisfacción en la prestación del servicio a los
afiliados</t>
  </si>
  <si>
    <t>Incrementar la satisfacción y fidelización de nuestros afiliados</t>
  </si>
  <si>
    <t>MISIONAL
 Atención al Cliente</t>
  </si>
  <si>
    <t>Jefe Oficina de Prensa y Atención Cliente</t>
  </si>
  <si>
    <t>Oficina de Prensa y Atención al Cliente</t>
  </si>
  <si>
    <t xml:space="preserve">Atender las PQRSDF dentro de los términos legales. </t>
  </si>
  <si>
    <t>Estimar la capacidad de la CSC para atender las peticiones, quejas, reclamos, sugerencias, denuncias y felicitaciones dentro de los términos legales.</t>
  </si>
  <si>
    <t>(PQRSDF resueltas dentro del término / Total PQRSDF recibidas en el periodo) * 100</t>
  </si>
  <si>
    <t>Promedio de años anteriores</t>
  </si>
  <si>
    <t>Gestión con valores para resultados</t>
  </si>
  <si>
    <t>Servicio al cuidadano</t>
  </si>
  <si>
    <t>Jefe Oficina de Prensa y atención cliente</t>
  </si>
  <si>
    <t xml:space="preserve">Medir la satisfacción del cliente externo, mínimo del 70% de la población atendida </t>
  </si>
  <si>
    <t>Porcentaje de satifacción de los clientes</t>
  </si>
  <si>
    <t>Medir la satisfacción de los clientes mínimo del 70% de la población atendida respecto de los servicios y/o productos ofrecidos por la CSC</t>
  </si>
  <si>
    <t>Eficiencia</t>
  </si>
  <si>
    <t>Resultado del año inmediatamente anterior.</t>
  </si>
  <si>
    <t>Proporcional al trimestre</t>
  </si>
  <si>
    <t>Efectividad vinculaciones</t>
  </si>
  <si>
    <t>Evaluar la efectividad de la gestión de vinculaciones realizadas</t>
  </si>
  <si>
    <t>(Número de vinculaciones efectivas en el Periodo /Total de vinculaciones prograadas) * 100</t>
  </si>
  <si>
    <t>Estableciendo lineamientos y cumpliendo con los requisitos aplicables al otorgamiento de créditos y planes de bienestar social en el ámbito departamental</t>
  </si>
  <si>
    <t>Mejorar la calidad del servicio en oportunidad, seguridad, confiabilidad y asesoría adecuada</t>
  </si>
  <si>
    <t>MISIONAL
Bienestar</t>
  </si>
  <si>
    <t>Subgerente de Servicios Corporativos
Profesional Universitario  (Bienestar).</t>
  </si>
  <si>
    <t xml:space="preserve">*Subgerencia de Servicios Corporativos.
</t>
  </si>
  <si>
    <t>Beneficiar el 20% de los afiliados y beneficiarios con las actividades y servicios de bienestar que presta la Corporación.</t>
  </si>
  <si>
    <t>Medir el porcentaje de afiliados beneficiados con los servicios de bienestar que presta la Corporación</t>
  </si>
  <si>
    <t>Resultado del año anterior.</t>
  </si>
  <si>
    <t>*Subgerencia de Servicios Corporativos.</t>
  </si>
  <si>
    <t>Beneficiar a los afiliados con actividades   encaminadas a difundir y promocionar el portafolio de servicios de la entidad. Asesorando y tramitando tanto créditos como afiliaciones de manera virtual y presencial  en los diferentes municipios del Departamento.</t>
  </si>
  <si>
    <t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t>
  </si>
  <si>
    <t xml:space="preserve">Eficacia de subsidios educativos </t>
  </si>
  <si>
    <t>semestral</t>
  </si>
  <si>
    <t>MISIONAL
Crédito y Cartera</t>
  </si>
  <si>
    <t xml:space="preserve"> Subgerencia de Servicios Corporativos.</t>
  </si>
  <si>
    <t xml:space="preserve">Colocación de créditos. </t>
  </si>
  <si>
    <t>Avance en la colocación de créditos</t>
  </si>
  <si>
    <t>Garantizar el cumplimiento de la meta del Plan de desarrollo (Meta total del cuatrienio: 8000 créditos)</t>
  </si>
  <si>
    <t>Número de créditos desembolsados en el periodo  * 100 /
Número de créditos programados para desembolsar en el periodo</t>
  </si>
  <si>
    <t>Resultado de la meta propuesta en el plan de desarrollo</t>
  </si>
  <si>
    <t>Asegurar el cumplimiento de tiempos en los Créditos hipotecarios.</t>
  </si>
  <si>
    <t>Oportunidad en la gestión de otorgamiento créditos hipotecarios.</t>
  </si>
  <si>
    <t>Verificar el cumplimiento de los términos establecidos para el desembolso de créditos hipotecarios (una vez se encuentren radicados los documentos para iniciar el trámite).</t>
  </si>
  <si>
    <t>Asegurar el cumplimiento de tiempos en el Crédito de consumo.</t>
  </si>
  <si>
    <t>Oportunidad en la gestión de otorgamiento créditos no hipotecarios.</t>
  </si>
  <si>
    <t>Verificar el cumplimiento de los términos establecidos para el desembolso de créditos no hipotecarios (una vez se encuentren radicados los documentos para iniciar el trámite).</t>
  </si>
  <si>
    <t>* Subgerencia de Servicios Corporativos.
* Dirección de cartera y ahorros
* Oficina Asesora Jurídica</t>
  </si>
  <si>
    <t>Indice de cartera vencida</t>
  </si>
  <si>
    <t xml:space="preserve">Mantener el mayor porcentaje posible de saldo de cartera de la entidad en calificación A. </t>
  </si>
  <si>
    <t>Saldo de cartera vencida (diferente a A) *100 / Saldo total de cartera.
(excluir cuentas de orden)</t>
  </si>
  <si>
    <t xml:space="preserve">Efectividad </t>
  </si>
  <si>
    <t>Resultado año anterior</t>
  </si>
  <si>
    <t>* Subgerencia de Servicios Corporativos.
* Dirección de cartera y ahorros</t>
  </si>
  <si>
    <t>Disminuir el porcentaje de cartera en "estado persuasivo"</t>
  </si>
  <si>
    <t>Indice de cartera en estado persuasivo</t>
  </si>
  <si>
    <t>Mantener la cartera en el estado preventivo evitando que esta pase a estado persuasivo</t>
  </si>
  <si>
    <t>Disminuir el porcentaje de cartera en estado pre-jurídico</t>
  </si>
  <si>
    <t>Indice de cartera en estado pre-jurídico</t>
  </si>
  <si>
    <t>Mantener la cartera en el estado persuasivo evitando que esta pase a estado pre - jurídico</t>
  </si>
  <si>
    <t>Contando con colaboradores y proveedores idóneos</t>
  </si>
  <si>
    <t>Evaluar el desempeño de los proveedores externos para que cumplan con los requisitos</t>
  </si>
  <si>
    <t xml:space="preserve">APOYO
Gestión Contractual </t>
  </si>
  <si>
    <t>Jefe de la Oficina de Contratación</t>
  </si>
  <si>
    <t xml:space="preserve">* Oficina asesora de contratación. </t>
  </si>
  <si>
    <t>Realizar la  gestión contractual acorde con la programación establecida en el Plan Anual de Adquisiciones</t>
  </si>
  <si>
    <t>Direccionamineto estratégico</t>
  </si>
  <si>
    <t>Compras y contratación pública</t>
  </si>
  <si>
    <t>Cada mes se debe medir</t>
  </si>
  <si>
    <t xml:space="preserve">Verificar el comportamiento  de los proveedores </t>
  </si>
  <si>
    <t xml:space="preserve">Reevaluación a proveedores </t>
  </si>
  <si>
    <t>Hacer seguimiento a la evaluación y reevaluación de los proveedores.</t>
  </si>
  <si>
    <t>La Corporación Social de Cundinamarca mejora el Sistema de Gestión de Calidad y asegura su integración con los componentes del MECI</t>
  </si>
  <si>
    <t>APOYO
Gestión de la Información</t>
  </si>
  <si>
    <t>Subgerente Administrativa y financiera
Profesional Universitario de Gerencia</t>
  </si>
  <si>
    <t xml:space="preserve">*Subgerencia Administrativa y financiera 
*Gerencia
</t>
  </si>
  <si>
    <t>Realizar mantenimiento preventivo a los equipos de cómputo, impresoras, scanner y equipo de la red de la entidad</t>
  </si>
  <si>
    <t>Gestión de mantenimientos preventivos</t>
  </si>
  <si>
    <t>Evaluar el cumplimiento de los mantenimientos preventivos  de los equipos de cómputo, impresoras, scanner y equipo de la red de la entidad</t>
  </si>
  <si>
    <t xml:space="preserve">Trimestral </t>
  </si>
  <si>
    <t>1. Gestión con valores para resultados.       2. Información y comunicación</t>
  </si>
  <si>
    <t>1. Gobierno digítal y seguridad digítal.                 2. Transparencia y acceso a la información</t>
  </si>
  <si>
    <t>Realizar mantenimiento correctivo cuando sea necesario  a los equipos de cómputo, impresoras, scanner y equipo de la red de la entidad, asi como soporte al usuario.</t>
  </si>
  <si>
    <t>Gestión de mantenimientos correctivos y soporte a usuarios</t>
  </si>
  <si>
    <t xml:space="preserve">Generar mantenimientos correctivos a los equipos de computo, impresoras, scanner y equipos de Red de la entidad, así como brindar soporte técnico a los usuarios según la necesidad. </t>
  </si>
  <si>
    <t>*Subgerencia Administrativa y financiera 
*Gerencia</t>
  </si>
  <si>
    <t xml:space="preserve">Adquirir los equipos tecnológicos requeridos por la entidad. </t>
  </si>
  <si>
    <t>Gestión y adquisición de proyectos tecnológicos</t>
  </si>
  <si>
    <t>Gestionar el proceso de  compra y/o alquiler de equipos tecnológicos y/o infraestructura tecnológica.</t>
  </si>
  <si>
    <t>Cantidad de equipos e infraestructura tecnológica adquirida *100/ Cantidad de equipos  e infraestructura requerida</t>
  </si>
  <si>
    <t xml:space="preserve">*Subgerencia Administrativa y financiera 
</t>
  </si>
  <si>
    <t xml:space="preserve">Publicación y seguimiento del Plan de Tratamiento de Riesgos de Seguridad y Privacidad de la Información, Plan de Seguridad y Privacidad de la Información y PETIC. </t>
  </si>
  <si>
    <t>Seguimiento y Publicación de planes anuales de gestión de la información.</t>
  </si>
  <si>
    <t xml:space="preserve">Verificar el seguimiento y la publicación del Plan de Tratamiento de Riesgos de Seguridad y Privacidad de la Información, Plan de Seguridad y Privacidad de la Información y PETIC. </t>
  </si>
  <si>
    <t>Subgerente Administrativa y financiera
Auxiliar Administrativo</t>
  </si>
  <si>
    <t xml:space="preserve">*Subgerencia Administrativa y financiera 
</t>
  </si>
  <si>
    <t>Actualización, publicación y seguimiento al Plan Institucional de Archivos de la Entidad  (PINAR).</t>
  </si>
  <si>
    <t xml:space="preserve">Contando con colaboradores y proveedores idóneos </t>
  </si>
  <si>
    <t>Garantizar los recursos para la rentabilidad y sostenibilidad de la Entidad</t>
  </si>
  <si>
    <t>APOYO
Gestión de Recursos Fisicos</t>
  </si>
  <si>
    <t>Subgerente Administrativa y Financiera
Almacenista General</t>
  </si>
  <si>
    <t>Subgerencia Administrativa y Financiera
Almacén</t>
  </si>
  <si>
    <t>NA</t>
  </si>
  <si>
    <t>Cronograma de actividades</t>
  </si>
  <si>
    <t xml:space="preserve"> -</t>
  </si>
  <si>
    <t>Direccionamiento estratégico y gestión con valores para el resultado</t>
  </si>
  <si>
    <t>Planeación institucional, de fortalecimiento organizacional y simplificación del proceso.</t>
  </si>
  <si>
    <t>Subgerencia Administrativa y Financiera</t>
  </si>
  <si>
    <t>Informe semestral de seguimiento a la Inspección preoperativa del parque automotor de la Entidad</t>
  </si>
  <si>
    <t>Semestral</t>
  </si>
  <si>
    <t>Solicitudes de las Dependencias</t>
  </si>
  <si>
    <t xml:space="preserve">Subgerencia Administrativa y Financiera
Almacén </t>
  </si>
  <si>
    <t>Actualizar semestralmente los inventarios  individuales de los funcionarios de la Entidad, los cuales deben estar firmados por el funcionario responsable.</t>
  </si>
  <si>
    <t>Inventarios de bienes muebles  individuales</t>
  </si>
  <si>
    <t>Hacer seguimiento a la actualización de inventarios  individuales de los funcionarios de la entidad.</t>
  </si>
  <si>
    <t xml:space="preserve"> Inventario puestos de trabajo y elementos exportado del software de inventarios por cada funcionario. </t>
  </si>
  <si>
    <t>Reportes de Elementos  de consumo y devolutivos</t>
  </si>
  <si>
    <t xml:space="preserve">Verificar los elementos de consumo y devolutivos de acuerdo al reporte generado por Novasoft frente al físico. </t>
  </si>
  <si>
    <t xml:space="preserve">Reporte del software
Informe de consumos y devolutivos </t>
  </si>
  <si>
    <t>Potencializar el talento humano con el fin de fortalecer sus competencias</t>
  </si>
  <si>
    <t>APOYO
Gestión del Talento Humano</t>
  </si>
  <si>
    <t>Subgerente Administrativa y Financiera
Profesional Universitario TH</t>
  </si>
  <si>
    <t>*Subgerencia Administrativa y Financiera. 
Oficina de TH</t>
  </si>
  <si>
    <t xml:space="preserve">Elaborar, implementar y realizar seguimiento el Plan Institucional de Capacitación  (PIC) para los funcionarios de la CSC </t>
  </si>
  <si>
    <t>Ejecutar y hacer seguimiento a las capacitaciones previstas en el cronograma de actividades</t>
  </si>
  <si>
    <t>Plan institucional de capacitación</t>
  </si>
  <si>
    <t>Talento humano y gestión del conocimiento</t>
  </si>
  <si>
    <t>Talento humano e integridad y gestión del conocimiento y la innovación</t>
  </si>
  <si>
    <t>Elaborar y realizar el seguimiento al Plan de Bienestar e incentivos de la CSC ajustado a los lineamientos normativos, conceptuales y dimensiones estratégicas adoptadas como resultado del diagnóstico institucional.</t>
  </si>
  <si>
    <t xml:space="preserve">Ejecutar el total de las actividades señaladas en el plan de bienestar e incentivos de la CSC. </t>
  </si>
  <si>
    <t>Mi MIPG se articula y complementa con este sistema, además de los sistemas de servicio al ciudadano, gestión ambiental y de seguridad de la información entre otros.</t>
  </si>
  <si>
    <t>Subgerente Administrativa y Financiera
Profesional Universitario SGSST</t>
  </si>
  <si>
    <t>Ejecutar del Programa de Seguridad y Salud en el Trabajo en CSC de conformidad con las disposiciones normativas vigentes.</t>
  </si>
  <si>
    <t>Articular acciones con la ARL y COPASS de la Entidad para garantizar la ejecución del programa SGSST al interior de la entidad.</t>
  </si>
  <si>
    <t>Subgerente Administrativa y Financiera
Técnico operativo TH</t>
  </si>
  <si>
    <t>Seguimiento al cumplimiento del cronograma de liquidación de nómina de funcionarios</t>
  </si>
  <si>
    <t xml:space="preserve">Liquidación de Nómina </t>
  </si>
  <si>
    <t>Aplicación correcta y oportuna de novedades en liquidación de nómina</t>
  </si>
  <si>
    <t>Novedades presentadas dentro de los tiempos del cronograma / Total de novedades atendidas en el periodo</t>
  </si>
  <si>
    <t xml:space="preserve">Talento humano </t>
  </si>
  <si>
    <t>Talento humano e integridad</t>
  </si>
  <si>
    <t>Subgerente Administrativa y Financiera
Tecnico operativo TH</t>
  </si>
  <si>
    <t>*Subgerencia Administrativo y Financiero. 
Oficina de TH</t>
  </si>
  <si>
    <t>Realizar trámite de recobro de incapacidades ante las EPSs</t>
  </si>
  <si>
    <t>Hacer seguimiento al trámite de recobro de incapacidades ante las EPSs</t>
  </si>
  <si>
    <t xml:space="preserve">Número de incapacidades trámitadas ante EPS *100/ Número de incapacidades radicadas en oficina </t>
  </si>
  <si>
    <t>Subgerente Administrativa y Financiera
Profesional Especializado</t>
  </si>
  <si>
    <t>Realizar seguimiento al autodiagnóstico de Talento Humano fortaleciendo las rutas con menor calificación</t>
  </si>
  <si>
    <t>Fortalecer la ruta del autodiagnostico de talento humano con menor calificación</t>
  </si>
  <si>
    <t>Resultado de la calificación final del autodiagnóstico &gt; Resultado de la calificación del autodiagnostico del año anterior (79.5%)</t>
  </si>
  <si>
    <t>Calificación</t>
  </si>
  <si>
    <t>Suscripción de los acuerdos de gestión y seguimiento a su cumplimiento</t>
  </si>
  <si>
    <t>Seguimiento al cumplimiento de los acuerdos de gestión suscritos</t>
  </si>
  <si>
    <t>Asignando los recursos necesarios</t>
  </si>
  <si>
    <t>Apoyar a la entidad en la consolidación oportuna de la información Presupuestal y Contable.</t>
  </si>
  <si>
    <t>APOYO
Gestión Financiera</t>
  </si>
  <si>
    <t>*Subgerente Administrativo y Financiero. 
*Director Técnico de Contabilidad y Presupuesto</t>
  </si>
  <si>
    <t>Subgerencia Administrativa y Financiera
Dirección de Presupuesto y Contabilidad</t>
  </si>
  <si>
    <t xml:space="preserve">Generar información financiera a la alta gerencia necesaria para la Administración del Presupuesto de manera eficiente. </t>
  </si>
  <si>
    <t xml:space="preserve">Porcentaje de ejecución presupuesto de Ingresos </t>
  </si>
  <si>
    <t>Verificar el comportamiento del presupuesto en cuanto al recaudo con el fin de determinar  el porcentaje  en cada trimestre</t>
  </si>
  <si>
    <t>Gestión presupuestal - eficiencia del gasto público</t>
  </si>
  <si>
    <t>Porcentaje de ejecución presupuesto de Gastos</t>
  </si>
  <si>
    <t>Verificar el comportamiento del presupuesto en cuanto al gasto con el fin de determinar  el porcentaje  en cada trimestre</t>
  </si>
  <si>
    <t xml:space="preserve">Generar y reportar la Información financiera y presupuestal a los entes de control y de fiscalización de manera oportuna a través de las plataformas oficiales. </t>
  </si>
  <si>
    <t xml:space="preserve"> Elaboración de Informes Contables y Presupuestales rendidos a los entes de control con periodicidad  - trimestral /Semestral y anual</t>
  </si>
  <si>
    <t>Reportar número de Informes tanto contables como presupuestales trimestralmente</t>
  </si>
  <si>
    <t xml:space="preserve">No. de  informes presentados trimestralmente / No. de informes proyectados trimestralmente  * 100
</t>
  </si>
  <si>
    <t>Calendario Tributario</t>
  </si>
  <si>
    <t>Porcentual</t>
  </si>
  <si>
    <t>*Subgerente Administrativo y Financiero. 
*Tesorero General</t>
  </si>
  <si>
    <t>Subgerencia Administrativa y Financiera
Tesorería</t>
  </si>
  <si>
    <t xml:space="preserve">Registrar en el sistema los recaudos provenientes de las diferentes líneas de crédito con que cuenta la entidad, para garantizar el proceso de desgloce y conciliaciones </t>
  </si>
  <si>
    <t>Registro de ingresos mensual</t>
  </si>
  <si>
    <t xml:space="preserve">Suministrar información de recaudo para la toma de determinaciones administrativas y financieras. </t>
  </si>
  <si>
    <t>Valor recaudo mensual / presupuesto aprobado * 100</t>
  </si>
  <si>
    <t>PAC</t>
  </si>
  <si>
    <t xml:space="preserve">Registrar en el sistema los egresos correspondiente a las obligaciones contraidas por la entidad. </t>
  </si>
  <si>
    <t>Registro de egresos mensual</t>
  </si>
  <si>
    <t xml:space="preserve">Suministrar información de egresos para la toma de determinaciones administrativas y financieras. </t>
  </si>
  <si>
    <t>Valor egresos mensual / presupuesto aprobado * 100</t>
  </si>
  <si>
    <t>APOYO
Gestión Jurídica</t>
  </si>
  <si>
    <t>Jefe de la Oficina Jurídica</t>
  </si>
  <si>
    <t>Oficina Asesora Jurídica</t>
  </si>
  <si>
    <t>Es el número de  obligaciones con impulso procesal</t>
  </si>
  <si>
    <t>Defensa jurídica</t>
  </si>
  <si>
    <t>APOYO
Gestión Juridica</t>
  </si>
  <si>
    <t>Manual de la política del daño antijuridico y sus lineamientos</t>
  </si>
  <si>
    <t xml:space="preserve">Mensual </t>
  </si>
  <si>
    <t>La Corporación Social de Cundinamarca mejora el Sistema de Gestión de Calidad y asegura su integración con el Modelo Integrado de Planeación y
Gestión</t>
  </si>
  <si>
    <t>PROCESO DE EVALUACIÓN
Gestión del Mejoramiento</t>
  </si>
  <si>
    <t>Jefe de oficina de control interno</t>
  </si>
  <si>
    <t>Oficina de Control Interno</t>
  </si>
  <si>
    <t xml:space="preserve">Planear y ejecutar el Plan anual de auditorías interna Integral de acuerdo al cronograma </t>
  </si>
  <si>
    <t xml:space="preserve">Cumplir con la planeación propuesta en el Plan anual de auditorías interna Integral </t>
  </si>
  <si>
    <t>eficacia</t>
  </si>
  <si>
    <t>Auditorías realizadas en el año 2024</t>
  </si>
  <si>
    <t xml:space="preserve"> - </t>
  </si>
  <si>
    <t>Control interno</t>
  </si>
  <si>
    <t>Realizar los seguimientos a los planes de mejoramiento aprobados por la Contraloría Departamental</t>
  </si>
  <si>
    <t>Planes de Mejoramiento de la Corporación Social de Cundinamarca</t>
  </si>
  <si>
    <t>Realizar los seguimientos a los Planes de Mejoramiento dando cumplimiento a los términos de la Resolución 0278 de 2021 de la Contraloría Departamental</t>
  </si>
  <si>
    <t xml:space="preserve">Semestral </t>
  </si>
  <si>
    <t>Verificar el cumplimiento de la publicación y/o la presentación de los informes de ley  por parte de la OCI</t>
  </si>
  <si>
    <t>eficiencia</t>
  </si>
  <si>
    <t>Informes de ley publicados en la pagina web</t>
  </si>
  <si>
    <t>Publicación de los informes en la página web</t>
  </si>
  <si>
    <t xml:space="preserve">trimestral </t>
  </si>
  <si>
    <t>Seguimiento a los resultados de la Auditoría interna de la CSC</t>
  </si>
  <si>
    <t>Realizar  seguimiento a las acciones de mejora y correctivas de la entidad</t>
  </si>
  <si>
    <t>Resultados Auditoria año anterior</t>
  </si>
  <si>
    <t xml:space="preserve">Cumplir con la normatividad vigente  </t>
  </si>
  <si>
    <t>Realizar Campañas de Autocontrol que armonicen la 7ma dimensión de MIPG</t>
  </si>
  <si>
    <t xml:space="preserve">Sensibilizar a la CSC con Campañas de Autocontrol (mínimo 4). </t>
  </si>
  <si>
    <t>Hacer seguimientos a los procesos contractuales subidos en la plataforma SIA OBSERVA</t>
  </si>
  <si>
    <t xml:space="preserve">Números de contratos elaborados y ejecutados hasta la fecha </t>
  </si>
  <si>
    <t>Disminuir el porcentaje de cartera vencida en dos puntos(2), de acuerdo con el resultado del indicador a 31 diciembre del año inmediatamente anterior</t>
  </si>
  <si>
    <t>&lt; 29%</t>
  </si>
  <si>
    <t>(Saldo de cartera vencida en estado persuasivo/ Saldo total de cartera)*100.
(excluir cuentas de orden)</t>
  </si>
  <si>
    <t>&lt;3%</t>
  </si>
  <si>
    <t>(Saldo de cartera vencida en estado pre-jurídico/Saldo total de cartera)*100.
(excluir cuentas de orden)</t>
  </si>
  <si>
    <t>Plan de auditoría aprobado 2025</t>
  </si>
  <si>
    <t xml:space="preserve">(Número de Auditorías realizadas / Número de Auditorías programadas)*100 </t>
  </si>
  <si>
    <t>Porcentaje de cumplimiento del Plan Anual de Auditorías</t>
  </si>
  <si>
    <t>Anual (con seguimiento trimestral)</t>
  </si>
  <si>
    <t>(Número de avances al plan de mejoramiento realizados dentro del término  / Número de avances al Plan de mejoramiento remitidos dentro del término)* 100.</t>
  </si>
  <si>
    <t>Plan de mejoramiento entregado en 2023 y 2024</t>
  </si>
  <si>
    <t>Auditoría Integral de la Contraloría de Cundinamarca 2024</t>
  </si>
  <si>
    <t>Presentar los informes de ley por parte de la OCI,  cumpliendo con la normatividad aplicable Decreto 648 del 19 de abril  de 2017</t>
  </si>
  <si>
    <t>Cumplimiento en la publicación de informes de ley Oficina de Control Interno (OCI)</t>
  </si>
  <si>
    <t xml:space="preserve">(Informes publicados en la página web de la entidad / Total informes programados) * 100  </t>
  </si>
  <si>
    <t xml:space="preserve">Porcentaje de seguimiento a observaciones  y No conformidades de Auditorias Internas </t>
  </si>
  <si>
    <t xml:space="preserve">(Número de seguimientos realizados / Número total de no conformidades y observaciones) * 100 </t>
  </si>
  <si>
    <t xml:space="preserve">Ejecución de campañas de Autocontrol </t>
  </si>
  <si>
    <t>(Número de Campañas de Autocontrol realizadas/ Número de Campañas de Autocontrol programadas)*100</t>
  </si>
  <si>
    <t>el numero de campañas realizadas en el 2024</t>
  </si>
  <si>
    <t>Realizar seguimiento a la plataforma SIA Observa y publicación en la página web de la CSC</t>
  </si>
  <si>
    <t>Monitoreo y publicación de contratos en SIA OBSERVA y página web CSC</t>
  </si>
  <si>
    <t xml:space="preserve">(Número de seguimientos  los contratos reportados / Número total de contratos reportados) * 100 </t>
  </si>
  <si>
    <t>seguimientos año 2024</t>
  </si>
  <si>
    <t xml:space="preserve">Revisar los procesos judiciales en aras de obtener el recaudo  de los dineros prestados a los usuarios </t>
  </si>
  <si>
    <t xml:space="preserve">Supervisión de la gestión jurídica de las obligaciones  entregadas a la firma de Representación Judicial para el cobro jurídico </t>
  </si>
  <si>
    <t xml:space="preserve">Realizar  seguimientos mensuales a la implementación de la política del plan de prevención del daño antijuridico </t>
  </si>
  <si>
    <t xml:space="preserve">Seguimiento del daño antijurídico  en el Comité de Conciliación y Defensa Judicial </t>
  </si>
  <si>
    <t>&gt; 86</t>
  </si>
  <si>
    <t>Realizar seguimiento al cronograma de actividades de los 12 planes del Decreto 612 de 2018</t>
  </si>
  <si>
    <t>Realizar el seguimiento al avance de actividades propuestas en cada uno de los planes</t>
  </si>
  <si>
    <t>Año 2024</t>
  </si>
  <si>
    <t>Resultados FURAG 2024</t>
  </si>
  <si>
    <t>Porcentaje de cumplimiento en la evaluación FURAG respecto a la meta establecida</t>
  </si>
  <si>
    <t>(Puntaje obtenido en la evaluación del FURAG / Puntaje máximo posible) x 100.</t>
  </si>
  <si>
    <t>Porcentaje de seguimiento efectivo a los 12 planes del Decreto 612 de 2018</t>
  </si>
  <si>
    <t>Número de informes de seguimiento realizados y aprobados a los Planes del Decreto 612 de 2018 / Total de informes de seguimiento programados</t>
  </si>
  <si>
    <t>Porcentaje de actualización efectiva en el sistema de trámites (SUIT)</t>
  </si>
  <si>
    <t>Porcentaje de atención oportuna a PQRSDF</t>
  </si>
  <si>
    <t xml:space="preserve">(Número de respuestas "Muy satisfecho" + "Satisfecho / Total de encuestas aplicadas) x 100
</t>
  </si>
  <si>
    <t xml:space="preserve">(Número de actividades ejecutadas  / Número de actividades programadas)*100 </t>
  </si>
  <si>
    <t>Seguimiento al Plan de Comunicaciones y  Marketing de la CSC</t>
  </si>
  <si>
    <t>Cumplimiento del cronograma de actividades del Plan de Comunicaciones y Marketing</t>
  </si>
  <si>
    <t>Seguir y evaluar el cumplimiento del Plan de Comunicaciones y Marketing de la CSC</t>
  </si>
  <si>
    <t xml:space="preserve">Porcentaje de afiliados beneficiados con programas de bienestar. (capacitaciones, recreación, promoción) </t>
  </si>
  <si>
    <t>(Número de afiliados beneficiados/
Total de afiliados activos) *100</t>
  </si>
  <si>
    <t>Porcentaje de cobertura en la promoción del portafolio de servicios de la entidad en los municipios del Departamento</t>
  </si>
  <si>
    <t>Medir el  porcentaje de municipios Cundinamarqueses visitados para promoción del portafolio</t>
  </si>
  <si>
    <t xml:space="preserve"> ((Número de municipios visitados efectivamente / Número de municipios programados para el periodo) x 100)</t>
  </si>
  <si>
    <t>Medir el número de entregas de subsidios educativos a los afiliados que ya cuentan con el beneficio de este programa y cumplen requisitos</t>
  </si>
  <si>
    <t xml:space="preserve">(Número de subsidios educativos entregados /
Número de subsidios educativos activos)*100 </t>
  </si>
  <si>
    <t>(Créditos hipotecarios desembolsados  en máximo 60 días hábiles / Total créditos hipotecarios desembolsados) * 100 .</t>
  </si>
  <si>
    <t xml:space="preserve">(Créditos no hipotecarios desembolsados  en máximo 30 días  / Total créditos no hipotecarios desembolsados)* 100
</t>
  </si>
  <si>
    <t xml:space="preserve">Aplicar el total del valor recaudado de las diferentes pagadurías y recibos por ventanilla. </t>
  </si>
  <si>
    <t>Índice de Aplicación del Valor Recaudado por Pagadurías y ventanilla</t>
  </si>
  <si>
    <t>Garantizar el  valor aplicado total del valor recaudado de las diferentes pagadurías y ventanilla.</t>
  </si>
  <si>
    <t>(Valor aplicado en el periodo / Valor recaudado en el periodo pagadurias y ventanilla)*100</t>
  </si>
  <si>
    <t xml:space="preserve">
(No. de actividades ejecutadas / No. de actividades programadas) x 100</t>
  </si>
  <si>
    <t>Porcentaje de ejecución del Plan Institucional de Capacitación.</t>
  </si>
  <si>
    <t xml:space="preserve"> Porcentaje de ejecución al cronograma de actividades de bienestar </t>
  </si>
  <si>
    <t>Plan de bienestar e incetivos año anterior</t>
  </si>
  <si>
    <t>Contando con colaboradores y proveedores idóneos  y Articular los requisitos del Sistema de Seguridad y Salud en el trabajo</t>
  </si>
  <si>
    <t>Potencializar el talento humano con el fin de fortalecer sus competencias
y Generar acciones de mejora continua para optimizar los procesos</t>
  </si>
  <si>
    <t>Porcentaje de cumplimiento del cronograma del SG-SST</t>
  </si>
  <si>
    <t>Plan de Seguridad y Salud en el Trabajo año anterior</t>
  </si>
  <si>
    <t>Reporte oportuno de incapacidades ante la EPS</t>
  </si>
  <si>
    <t>Porcentaje de seguimiento a evaluaciones de desempeño</t>
  </si>
  <si>
    <t>Realizar las evaluaciones de desempeño y de rendimiento laboral de los funcionarios de la CSC</t>
  </si>
  <si>
    <t>Seguimiento a las evaluaciones de desempeño y de rendimiento laboral de funcionarios</t>
  </si>
  <si>
    <t xml:space="preserve">No. de seguimientos efectivos realizados*100 / número de seguimientos requeridos
</t>
  </si>
  <si>
    <t>Mejora en la calificación del autodiagnóstico de talento humano</t>
  </si>
  <si>
    <t>Autodiagnóstico 2024</t>
  </si>
  <si>
    <t xml:space="preserve">Cumplimiento en los Acuerdos de Gestión </t>
  </si>
  <si>
    <t>(Número seguimientos realizados a los acuerdos de gestión / Número total de acuerdos suscritos) x 100.</t>
  </si>
  <si>
    <t>(Número de mantenimientos preventivos ejecutados en el plazo programado / Total de mantenimientos preventivos programados) x 100.</t>
  </si>
  <si>
    <t>(Número de casos de mantenimientos correctivos solucionados / Número de casos de mantenimiento presentados) *100</t>
  </si>
  <si>
    <t>(Actividades ejecutadas según cronogramas de actividades en los planes publicados  / total de  actividades programadas en los Planes )*100</t>
  </si>
  <si>
    <t xml:space="preserve">(Actividades ejecutadas según cronograma del PINAR / Total de Actividades cronograma del PINAR)* 100 </t>
  </si>
  <si>
    <t>Porcentaje de ejecución del PINAR</t>
  </si>
  <si>
    <t>Realizar seguimiento a las actividades propuestas en el cronograma del PINAR</t>
  </si>
  <si>
    <t>≥ 95%.</t>
  </si>
  <si>
    <t>≥ 90.</t>
  </si>
  <si>
    <t>Realizar nuevas vinculaciones durante la vigencia</t>
  </si>
  <si>
    <t>Porcentaje de gestión de consignaciones sin identificar</t>
  </si>
  <si>
    <t>Medir la efectividad en la identificación y gestión de consignaciones recibidas sin información clara de su origen.</t>
  </si>
  <si>
    <t>TES 105</t>
  </si>
  <si>
    <t>31/12/205</t>
  </si>
  <si>
    <t xml:space="preserve">Realizar la gestión con entidades bancarias y afiliados para identificar y regularizar las consignaciones sin identificar registradas en el reporte TES 105, asegurando su correcta asignación </t>
  </si>
  <si>
    <t>(Valor Recaudado Trimestre  / Valor Proyectado en el trimestre )* 100</t>
  </si>
  <si>
    <t>(Valor Ejecutado gastos Trimestre  / Valor Proyectado gastos en el trimestre) * 100</t>
  </si>
  <si>
    <t xml:space="preserve">Ejecución mensual de conciliaciones bancarias de todas las cuentas de la entidad con los bancos correspondientes que se ajusten a los procedimientos establecidos  institucionalmente. </t>
  </si>
  <si>
    <t>Elaboración de Conciliaciones Bancarias</t>
  </si>
  <si>
    <t>Asegurar que todas las cuentas bancarias de la entidad sean conciliadas mensualmente dentro de los plazos establecidos, reflejando la razonabilidad de los movimientos bancarios en los libros contables</t>
  </si>
  <si>
    <t xml:space="preserve">(Número de cuentas bancarias conciliadas en el mes / Total de cuentas bancarias por conciliar) * 100
​
 </t>
  </si>
  <si>
    <t>Resultados 2024</t>
  </si>
  <si>
    <t>(Número de consignaciones sin identificar gestionadas en el periodo/total de consignaciones sin identificar recibidas en el periodo)*100</t>
  </si>
  <si>
    <t>Elaborar el  Plan Anual de mantenimiento de la infraestructura física  de la entidad y realizar el seguimiento de acuerdo al cronograma de actividades planteado</t>
  </si>
  <si>
    <t xml:space="preserve">Seguimiento al Plan Anual de mantenimiento de la infraestructura física </t>
  </si>
  <si>
    <t>Hacer seguimiento a la ejecución del Plan Anual de mantenimiento de la infraetructura fisica  de la Entidad de acuerdo al cronograma de actividades propuesto</t>
  </si>
  <si>
    <t>(Número de actividades realizadasdentro del plazo / Número total de actividades  programadas de acuerdo al cronograma) *100</t>
  </si>
  <si>
    <t>Subgerente Administrativa y Financiera
Técnico operativo</t>
  </si>
  <si>
    <t>Garantizar el cumplimiento del mantenimiento preventivo de los vehículos institucionales. Mínimo dos mantenimientos al año.</t>
  </si>
  <si>
    <t xml:space="preserve">Inspección preoperativa del parque automotor de la entidad. </t>
  </si>
  <si>
    <t>(No. de mantenimientos realizados /No.de mantenimientos programados)*100</t>
  </si>
  <si>
    <t>(No de  inventarios Individuales actualizados/ No de funcionarios entidad)*100</t>
  </si>
  <si>
    <t>(No de reportes generados/ No de reportes programados)*100</t>
  </si>
  <si>
    <t>Reducir el impacto ambiental y contribuir a la conservación del medio ambiente</t>
  </si>
  <si>
    <t>Actualizar el Plan institucional de Gestión Ambiental,  publicarlo en la página web de la Entidad y realizar seguimiento a las actividades</t>
  </si>
  <si>
    <t>Seguimiento al Plan Institucional de Gestión Ambiental - PIGA-</t>
  </si>
  <si>
    <t>Asegurar la implementación y ejecución del Plan Institucional de Gestión Ambiental.</t>
  </si>
  <si>
    <t>(Número de actividades realizadas dentro del tiempo/ Número total de actividades  programadas en el  cronograma)*100</t>
  </si>
  <si>
    <t>Publicar a los entes de control del SIA observa la contratación mensual de la entidad</t>
  </si>
  <si>
    <t>Rendición de cuenta a Contraloría SIA observa</t>
  </si>
  <si>
    <t>Asegurar que la rendición de cuentas se realice dentro del plazo establecido. Tercer día hábil de cada mes</t>
  </si>
  <si>
    <t>(Número de cuentas rendidas en el plazo establecido(3 primeros días hábiles de cada mes)/Total de informes programados)*100</t>
  </si>
  <si>
    <t>(Número de proveedores reevaluados en el periodo/Número de contratos suscritos a reevaluar)*100</t>
  </si>
  <si>
    <t>Seguimiento a la gestión en la ejecución del  Plan Anual de Adquisiciones</t>
  </si>
  <si>
    <t>Evaluar el grado de cumplimiento del PAA en términos de adjudicación de contratos dentro de los plazos y condiciones establecidas.</t>
  </si>
  <si>
    <t>(Número de contratos adjudicados según PAA / Total de contratos programados en el PAA) * 100</t>
  </si>
  <si>
    <t>Plan anual de adquisiciones del año anterior</t>
  </si>
  <si>
    <t xml:space="preserve">Realizar  seguimiento al reporte de los procesos entregados a la firma de  representación judicial  en los que  se haya decretado  sentencia de prescripción de la acción cambiaria y desistimiento tácitos.   </t>
  </si>
  <si>
    <t>Evaluar el seguimiento a las obligaciones entregadas a la firma de representación judicial para la gestión de cobros jurídicos.</t>
  </si>
  <si>
    <t>Número de obligaciones revisadas en la plataforma de la rama judicial 
---------------------------------------*100
Número de obligaciones entregadas con  a la firma de Representación Judicial</t>
  </si>
  <si>
    <t>≥ 95%</t>
  </si>
  <si>
    <t>Medir el cumplimiento de la política de prevención del daño antijurídico.</t>
  </si>
  <si>
    <t>(Número de informes aprobados en comité / No de informes programados)*100</t>
  </si>
  <si>
    <t>Identificación y seguimiento de procesos con prescripción o desistimientos tácitos</t>
  </si>
  <si>
    <t>Medir la efectividad en la gestión de procesos jurídicos que pueden prescribir o requerir desistimientos tácitos.</t>
  </si>
  <si>
    <t xml:space="preserve">
(Número de proceso con sentencia de desistimientos tácitos y/o prescripción de la acción cambiaria/
Número de nuevas demandas presentadas y admitidas)*100</t>
  </si>
  <si>
    <t>≤ 5% de procesos prescritos sin gestión previa.</t>
  </si>
  <si>
    <t>Mejora el Sistema de Gestión de
Calidad y asegura si integración con el Modelo Integrado de Planeación y
Gestión</t>
  </si>
  <si>
    <t>Entregar oportunamente los elementos de papelería y consumo indicados en las solicitudes recibidas.</t>
  </si>
  <si>
    <t xml:space="preserve">Porcentaje de cumplimiento en la entrega de solicitudes recibidas.
</t>
  </si>
  <si>
    <t>Satisfacer a conformidad las necesidades de elementos de consumo y papelería en los diferentes procesos de la Entidad.</t>
  </si>
  <si>
    <t>(No. de solicitudes entregadas completas/No. de solicitudes recibidas)*100</t>
  </si>
  <si>
    <t>PROCESO</t>
  </si>
  <si>
    <t>CUMPLIMIENTO</t>
  </si>
  <si>
    <t>MIPG</t>
  </si>
  <si>
    <t>Mejora el Sistema de Gestión de
Calidad y asegura su integración con el Modelo Integrado de Planeación y
Gestión</t>
  </si>
  <si>
    <t xml:space="preserve">Subgerente de Servicios Corporativos
 Profesional de crédito
</t>
  </si>
  <si>
    <t>Subgerente de Servicios Corporativos
 Profesional de crédito</t>
  </si>
  <si>
    <t>Subgerente de Servicios Corporativos
Profesional de crédito</t>
  </si>
  <si>
    <t>Director Técnico de Cartera 
Profesional de Cartera
Jefe Oficina Gestión Jurídica</t>
  </si>
  <si>
    <t>Director Técnico de Cartera 
Profesional de Cartera</t>
  </si>
  <si>
    <t>OBSERVACIONES 1ER. TRIMESTRE (Cada Proceso)</t>
  </si>
  <si>
    <t>OBSERVACIONES 1ER. TRIMESTRE (Planeación)</t>
  </si>
  <si>
    <t>OBSERVACIONES 2DO. TRIMESTRE (Cada Proceso)</t>
  </si>
  <si>
    <t>OBSERVACIONES 2DO. TRIMESTRE (Planeación)</t>
  </si>
  <si>
    <t>OBSERVACIONES 3ER. TRIMESTRE (Cada Proceso)</t>
  </si>
  <si>
    <t>OBSERVACIONES 3ER. TRIMESTRE (Planeación)</t>
  </si>
  <si>
    <t>OBSERVACIONES 4TO.  TRIMESTRE (Cada Proceso)</t>
  </si>
  <si>
    <t>OBSERVACIONES 4TO.  TRIMESTRE (Planeación)</t>
  </si>
  <si>
    <t>SEGUIMIENTO 2025</t>
  </si>
  <si>
    <t xml:space="preserve">Código: CSC-DE-FR-06		</t>
  </si>
  <si>
    <t>Versión: 03</t>
  </si>
  <si>
    <t>Fecha: Mayo 30 de 2023</t>
  </si>
  <si>
    <t>En el primer trimestre de 2025 se beneficiaron 1,751 afiliados con anchetas de productos cundinamarqueses como incentivo , y  57 afiliados y beneficarios con cursos de -Reacciòn ante la  crisis(primeros auxilios psicològicos) (27),comunicaciòn efectiva (22) y manejo de estrès y ansiedad (8), para  un total de 1,808 beneficiados. en este trimestre tambièn se firmaron  7 alianzas con empresas que ofrecen  descuentos y beneficios especiales para los afiliados  y sus familias tales como: Brigadas de Colombia,Cupòn APP, Colsanitas, Dmfmedics, Uniservantes,Uniagraria, Britisacademy.</t>
  </si>
  <si>
    <t>En  el primer trimestre  de 2025 se relizaron 106 visitas a 37  municipios del departamento de los 24 programados,  encaminadas a difundir y promocionar el portafolio de servicios de la entidad. Asesorando y tramitando tanto créditos como afiliaciones</t>
  </si>
  <si>
    <t>En el primer trimestre de 2025  se giraron 32 subsidios educativos  de los  49  activos,  pero  la mediciòn se harà en el segundo trimestre, teniendo en cuenta que los giros son semestrales y se miden en el segundo y cuarto trimestre</t>
  </si>
  <si>
    <t xml:space="preserve">En el primer trimestre de 2025 se radicaron 222 crèditos , se aprobaron 152 y  desembolsaron los  152 crèditos aprobados,  superando  la meta esperada que era de 100. </t>
  </si>
  <si>
    <t>De los 152 créditos desembolsados durante el  primer trimestre de 2025, 10 corresponde a crédito de vivienda hipotecarios de los cuales  los 10 fueron desembolsados en un periodo menor a 60 dias, dando cumplimiento a la meta programada.</t>
  </si>
  <si>
    <t>De los 152 créditos desembolsados durante el  primer trimestre de 2025, 142 corresponde a crédito de consumo de los cuales  los 142 fueron desembolsados en un periodo menor a 30 dias, dando cumplimiento a la meta programada.</t>
  </si>
  <si>
    <t>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t>
  </si>
  <si>
    <t>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t>
  </si>
  <si>
    <t>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t>
  </si>
  <si>
    <t>El indicador dio como resultado del tercer trimestre un 33% la oficina Asesora Jurídica debe implentar las acciones necesarias para cumplir con la meta esperada.</t>
  </si>
  <si>
    <t>El indicador dio el resultado del 2%, debido a la gestión que se viene desarrollando por parte del personal contratado, dentro del cual se implemento una comunicación que se envia a todos los correos,  para la gestión del cobro en estado persuasivo.</t>
  </si>
  <si>
    <t>El indicador dio el resultado del 3%, debido a la gestión que se viene desarrollando por parte del personal contratado,   para la gestión del cobro en estado persuasivo.</t>
  </si>
  <si>
    <t>El indicador dio como resultado del primer trimestre un 99,70% , por la gestión que desde la Unidad de cartera y Ahorros se está realizando con las pagadurias.</t>
  </si>
  <si>
    <t>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t>
  </si>
  <si>
    <t>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t>
  </si>
  <si>
    <t>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t>
  </si>
  <si>
    <t>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t>
  </si>
  <si>
    <r>
      <t>Durante el trimestre</t>
    </r>
    <r>
      <rPr>
        <b/>
        <sz val="9"/>
        <rFont val="Arial"/>
        <family val="2"/>
      </rPr>
      <t xml:space="preserve"> (Enero, Febrero ,Marzo),</t>
    </r>
    <r>
      <rPr>
        <sz val="9"/>
        <rFont val="Arial"/>
        <family val="2"/>
      </rPr>
      <t xml:space="preserve"> del año 2025 se ha dado cumplimiento al PAA en los siguientes proceso de contratación. 
</t>
    </r>
    <r>
      <rPr>
        <b/>
        <sz val="9"/>
        <rFont val="Arial"/>
        <family val="2"/>
      </rPr>
      <t>1.</t>
    </r>
    <r>
      <rPr>
        <sz val="9"/>
        <rFont val="Arial"/>
        <family val="2"/>
      </rPr>
      <t xml:space="preserve"> Prestación del servicio de vigilancia y seguridad privada, para la protección de los bienes muebles en inmuebles y enseres de propiedad de la corporación social de Cundinamarca 	</t>
    </r>
    <r>
      <rPr>
        <b/>
        <sz val="9"/>
        <rFont val="Arial"/>
        <family val="2"/>
      </rPr>
      <t>25-0005</t>
    </r>
    <r>
      <rPr>
        <sz val="9"/>
        <rFont val="Arial"/>
        <family val="2"/>
      </rPr>
      <t xml:space="preserve">
</t>
    </r>
    <r>
      <rPr>
        <b/>
        <sz val="9"/>
        <rFont val="Arial"/>
        <family val="2"/>
      </rPr>
      <t>2.</t>
    </r>
    <r>
      <rPr>
        <sz val="9"/>
        <rFont val="Arial"/>
        <family val="2"/>
      </rPr>
      <t xml:space="preserve"> Prestación de servicio de mantenimiento integral preventivo y correctivo incluido el suministro de repuestos del parque automotor.   </t>
    </r>
    <r>
      <rPr>
        <b/>
        <sz val="9"/>
        <rFont val="Arial"/>
        <family val="2"/>
      </rPr>
      <t>En proceso de evaluación preliminar de ofertas
3.</t>
    </r>
    <r>
      <rPr>
        <sz val="9"/>
        <rFont val="Arial"/>
        <family val="2"/>
      </rPr>
      <t xml:space="preserve"> Servicio de suministro de aseo y cafetería en las instalaciones de la sede principal y gobernación.</t>
    </r>
    <r>
      <rPr>
        <b/>
        <sz val="9"/>
        <rFont val="Arial"/>
        <family val="2"/>
      </rPr>
      <t xml:space="preserve">  25-003</t>
    </r>
    <r>
      <rPr>
        <sz val="9"/>
        <rFont val="Arial"/>
        <family val="2"/>
      </rPr>
      <t xml:space="preserve">
</t>
    </r>
    <r>
      <rPr>
        <b/>
        <sz val="9"/>
        <rFont val="Arial"/>
        <family val="2"/>
      </rPr>
      <t>4.</t>
    </r>
    <r>
      <rPr>
        <sz val="9"/>
        <rFont val="Arial"/>
        <family val="2"/>
      </rPr>
      <t xml:space="preserve">Servicios profesionales exámenes médicos ocupacionales de ingreso, periódicos de retiro, prueba psicométrica.  </t>
    </r>
    <r>
      <rPr>
        <b/>
        <sz val="9"/>
        <rFont val="Arial"/>
        <family val="2"/>
      </rPr>
      <t xml:space="preserve">25-0006. 
5. </t>
    </r>
    <r>
      <rPr>
        <sz val="9"/>
        <rFont val="Arial"/>
        <family val="2"/>
      </rPr>
      <t xml:space="preserve">Suministro de combustible para el parque automotor. </t>
    </r>
    <r>
      <rPr>
        <b/>
        <sz val="9"/>
        <rFont val="Arial"/>
        <family val="2"/>
      </rPr>
      <t xml:space="preserve"> 25-0001</t>
    </r>
    <r>
      <rPr>
        <sz val="9"/>
        <rFont val="Arial"/>
        <family val="2"/>
      </rPr>
      <t xml:space="preserve">
</t>
    </r>
    <r>
      <rPr>
        <b/>
        <sz val="9"/>
        <rFont val="Arial"/>
        <family val="2"/>
      </rPr>
      <t>6.</t>
    </r>
    <r>
      <rPr>
        <sz val="9"/>
        <rFont val="Arial"/>
        <family val="2"/>
      </rPr>
      <t xml:space="preserve"> Alquiler de impresoras y scaners. </t>
    </r>
    <r>
      <rPr>
        <b/>
        <sz val="9"/>
        <rFont val="Arial"/>
        <family val="2"/>
      </rPr>
      <t>25-0002</t>
    </r>
    <r>
      <rPr>
        <sz val="9"/>
        <rFont val="Arial"/>
        <family val="2"/>
      </rPr>
      <t xml:space="preserve">
</t>
    </r>
    <r>
      <rPr>
        <b/>
        <sz val="9"/>
        <rFont val="Arial"/>
        <family val="2"/>
      </rPr>
      <t xml:space="preserve">7. </t>
    </r>
    <r>
      <rPr>
        <sz val="9"/>
        <rFont val="Arial"/>
        <family val="2"/>
      </rPr>
      <t xml:space="preserve">Proyecto tendiente al mejoramiento de la calidad de vida de los afiliados y su núcleo familiar a través del desarrollo de programas de fortalecimiento en el sector educativo, tecnológico y social.  </t>
    </r>
    <r>
      <rPr>
        <b/>
        <sz val="9"/>
        <rFont val="Arial"/>
        <family val="2"/>
      </rPr>
      <t>25-056 (FONDECUN)</t>
    </r>
    <r>
      <rPr>
        <sz val="9"/>
        <rFont val="Arial"/>
        <family val="2"/>
      </rPr>
      <t xml:space="preserve">
</t>
    </r>
    <r>
      <rPr>
        <b/>
        <sz val="9"/>
        <rFont val="Arial"/>
        <family val="2"/>
      </rPr>
      <t>8.</t>
    </r>
    <r>
      <rPr>
        <sz val="9"/>
        <rFont val="Arial"/>
        <family val="2"/>
      </rPr>
      <t xml:space="preserve"> Adquisición e instalación de material publicitarios, marketing, logística, plan de medios y posicionamiento. </t>
    </r>
    <r>
      <rPr>
        <b/>
        <sz val="9"/>
        <rFont val="Arial"/>
        <family val="2"/>
      </rPr>
      <t xml:space="preserve">25-076 (INMOBILIARIA.)
</t>
    </r>
    <r>
      <rPr>
        <sz val="9"/>
        <rFont val="Arial"/>
        <family val="2"/>
      </rPr>
      <t xml:space="preserve">Para los procesos que aún no se le ha dado cumplimiento por parte de las direcciones encargadas se anexa evidencia de pantallazos de correos electrónicos enviados desde la oficina de contratación, donde se solicita iniciar con el cumplimento a cada uno de los procesos que se dejaran plasmados en el PAA vigencia 2025.  Adicionalmente se adjunta archivo en Excel con la base de datos con la contratación directa que se realizó desde el mes de </t>
    </r>
    <r>
      <rPr>
        <b/>
        <sz val="9"/>
        <rFont val="Arial"/>
        <family val="2"/>
      </rPr>
      <t xml:space="preserve">Enero hasta el 31 de Marzo de 2025, Contrato 25-001 hasta el 25-069. Nota: </t>
    </r>
    <r>
      <rPr>
        <sz val="9"/>
        <rFont val="Arial"/>
        <family val="2"/>
      </rPr>
      <t xml:space="preserve">Información que reposa en las carpetas en </t>
    </r>
    <r>
      <rPr>
        <b/>
        <sz val="9"/>
        <rFont val="Arial"/>
        <family val="2"/>
      </rPr>
      <t xml:space="preserve">físico en el archivo de la Oficina de Contratación y en la Red.                                                                                                                                                                                                                                                                                                                                  </t>
    </r>
  </si>
  <si>
    <t>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t>
  </si>
  <si>
    <r>
      <t xml:space="preserve">El número de cuentas rendidas durante el periodo de Enero a Marzo de 2025 en la plataforma de SIA OBSERVA los primeros tres (3) días hábiles del mes correspondiente son:
</t>
    </r>
    <r>
      <rPr>
        <b/>
        <sz val="10"/>
        <rFont val="Arial"/>
        <family val="2"/>
      </rPr>
      <t>ENERO:</t>
    </r>
    <r>
      <rPr>
        <sz val="10"/>
        <rFont val="Arial"/>
        <family val="2"/>
        <charset val="1"/>
      </rPr>
      <t xml:space="preserve"> Se rindieron </t>
    </r>
    <r>
      <rPr>
        <b/>
        <sz val="10"/>
        <rFont val="Arial"/>
        <family val="2"/>
      </rPr>
      <t>24</t>
    </r>
    <r>
      <rPr>
        <sz val="10"/>
        <rFont val="Arial"/>
        <family val="2"/>
        <charset val="1"/>
      </rPr>
      <t xml:space="preserve"> contratos. 
</t>
    </r>
    <r>
      <rPr>
        <b/>
        <sz val="10"/>
        <rFont val="Arial"/>
        <family val="2"/>
      </rPr>
      <t>FEBRERO:</t>
    </r>
    <r>
      <rPr>
        <sz val="10"/>
        <rFont val="Arial"/>
        <family val="2"/>
        <charset val="1"/>
      </rPr>
      <t xml:space="preserve"> Se rindieron </t>
    </r>
    <r>
      <rPr>
        <b/>
        <sz val="10"/>
        <rFont val="Arial"/>
        <family val="2"/>
      </rPr>
      <t>27</t>
    </r>
    <r>
      <rPr>
        <sz val="10"/>
        <rFont val="Arial"/>
        <family val="2"/>
        <charset val="1"/>
      </rPr>
      <t xml:space="preserve"> contratos.
</t>
    </r>
    <r>
      <rPr>
        <b/>
        <sz val="10"/>
        <rFont val="Arial"/>
        <family val="2"/>
      </rPr>
      <t>MARZO:</t>
    </r>
    <r>
      <rPr>
        <sz val="10"/>
        <rFont val="Arial"/>
        <family val="2"/>
        <charset val="1"/>
      </rPr>
      <t xml:space="preserve"> Se rindieron </t>
    </r>
    <r>
      <rPr>
        <b/>
        <sz val="10"/>
        <rFont val="Arial"/>
        <family val="2"/>
      </rPr>
      <t>19</t>
    </r>
    <r>
      <rPr>
        <sz val="10"/>
        <rFont val="Arial"/>
        <family val="2"/>
        <charset val="1"/>
      </rPr>
      <t xml:space="preserve"> contratos.
</t>
    </r>
    <r>
      <rPr>
        <b/>
        <sz val="10"/>
        <rFont val="Arial"/>
        <family val="2"/>
      </rPr>
      <t>NOTA:</t>
    </r>
    <r>
      <rPr>
        <sz val="10"/>
        <rFont val="Arial"/>
        <family val="2"/>
        <charset val="1"/>
      </rPr>
      <t xml:space="preserve"> Se adjunta actas de reunión y constancia de rendición del mes de Enero, Febrero y Marzo de 2025.
</t>
    </r>
    <r>
      <rPr>
        <b/>
        <sz val="10"/>
        <rFont val="Arial"/>
        <family val="2"/>
      </rPr>
      <t xml:space="preserve">NOTA 2: </t>
    </r>
    <r>
      <rPr>
        <sz val="10"/>
        <rFont val="Arial"/>
        <family val="2"/>
        <charset val="1"/>
      </rPr>
      <t xml:space="preserve">Nos econtramos actualimente culminado al 100% la ejecuion y termninacion en la plataforma de la vigencia 2024, con un avance del 70%. </t>
    </r>
  </si>
  <si>
    <r>
      <t xml:space="preserve">En el primer trimestre de la vigencia 2025 se realizaron los siguientes cierres de contratos: 
</t>
    </r>
    <r>
      <rPr>
        <b/>
        <sz val="10"/>
        <rFont val="Arial"/>
        <family val="2"/>
      </rPr>
      <t xml:space="preserve">1. </t>
    </r>
    <r>
      <rPr>
        <sz val="10"/>
        <rFont val="Arial"/>
        <family val="2"/>
      </rPr>
      <t xml:space="preserve">Plan de Medios 24-061 
</t>
    </r>
    <r>
      <rPr>
        <b/>
        <sz val="10"/>
        <rFont val="Arial"/>
        <family val="2"/>
      </rPr>
      <t xml:space="preserve">2. </t>
    </r>
    <r>
      <rPr>
        <sz val="10"/>
        <rFont val="Arial"/>
        <family val="2"/>
      </rPr>
      <t xml:space="preserve">Vigias 24-0005
</t>
    </r>
    <r>
      <rPr>
        <b/>
        <sz val="10"/>
        <rFont val="Arial"/>
        <family val="2"/>
      </rPr>
      <t xml:space="preserve">3. </t>
    </r>
    <r>
      <rPr>
        <sz val="10"/>
        <rFont val="Arial"/>
        <family val="2"/>
      </rPr>
      <t xml:space="preserve">Cindy Dayana Cubillos  24-074
</t>
    </r>
    <r>
      <rPr>
        <b/>
        <sz val="10"/>
        <rFont val="Arial"/>
        <family val="2"/>
      </rPr>
      <t xml:space="preserve">4. </t>
    </r>
    <r>
      <rPr>
        <sz val="10"/>
        <rFont val="Arial"/>
        <family val="2"/>
      </rPr>
      <t xml:space="preserve">Yadira Corchuelo 25-001
</t>
    </r>
    <r>
      <rPr>
        <b/>
        <sz val="10"/>
        <rFont val="Arial"/>
        <family val="2"/>
      </rPr>
      <t xml:space="preserve">5. </t>
    </r>
    <r>
      <rPr>
        <sz val="10"/>
        <rFont val="Arial"/>
        <family val="2"/>
      </rPr>
      <t xml:space="preserve">Liliana Perez  25-002
</t>
    </r>
    <r>
      <rPr>
        <b/>
        <sz val="10"/>
        <rFont val="Arial"/>
        <family val="2"/>
      </rPr>
      <t xml:space="preserve">6. </t>
    </r>
    <r>
      <rPr>
        <sz val="10"/>
        <rFont val="Arial"/>
        <family val="2"/>
      </rPr>
      <t xml:space="preserve">Bleyni Herrada 25-003
</t>
    </r>
    <r>
      <rPr>
        <b/>
        <sz val="10"/>
        <rFont val="Arial"/>
        <family val="2"/>
      </rPr>
      <t xml:space="preserve">NOTA: </t>
    </r>
    <r>
      <rPr>
        <sz val="10"/>
        <rFont val="Arial"/>
        <family val="2"/>
      </rPr>
      <t xml:space="preserve">El acta de liquidacion y acta de terminación de cada uno de los contratos anteriormente mesionados se encuentran en la Red.  </t>
    </r>
    <r>
      <rPr>
        <b/>
        <sz val="10"/>
        <rFont val="Arial"/>
        <family val="2"/>
      </rPr>
      <t xml:space="preserve"> </t>
    </r>
  </si>
  <si>
    <t>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t>
  </si>
  <si>
    <t>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t>
  </si>
  <si>
    <t>Se elaboro el cronograma de mantenimientos preventivos para el año 2025.
Se proyecto cambios en el procedimientos de mantenimientos. 
Se proyecto lista de chequeo para mayor control de los mantenimientos.
Se realizo mantenimiento preventivo tres multifuncionales de la entidad.</t>
  </si>
  <si>
    <t>Se realizaro 64 soportes a usuarios que se encuentran reportados en el formato de calidad, dando respuesta satisfactoria a la totalidad.</t>
  </si>
  <si>
    <t>Se realizo el proceso de alquiler de las multifuncionales culminando satisfactoriamiente (contrato 25-0002,) él cual incluyo estudio previo de la necesidad de cada una de las areas que constituyen la entidad.</t>
  </si>
  <si>
    <r>
      <rPr>
        <b/>
        <sz val="8"/>
        <rFont val="Arial"/>
        <family val="2"/>
      </rPr>
      <t xml:space="preserve">Planes y proyectos:
1. </t>
    </r>
    <r>
      <rPr>
        <sz val="8"/>
        <rFont val="Arial"/>
        <family val="2"/>
        <charset val="1"/>
      </rPr>
      <t xml:space="preserve">De acuerdo con la grave problemática que actualmente existe en el archivo CSC. Para poder solucionar de manera pronta, eficaz y evitando a que a futuro la CSC se haga acreedora a millonarias multas, la subgerencia administrativa y financiera, tomó la determinación de crear un comité de Archivo Interno, mediante resolución No. 14 de 2025 para llevar las diferentes problemáticas al Comité institucional de gestión y desempeño y subsanar todas las inconsistencias. Posteriormente, la Oficina de Control Interno, comentó que no se debía haber realizado dicho Comité, ya que el comité institucional de gestión y desempeño absorbía el mismo, por ello se debía derogar la anterior resolución. 
</t>
    </r>
    <r>
      <rPr>
        <b/>
        <sz val="8"/>
        <rFont val="Arial"/>
        <family val="2"/>
      </rPr>
      <t xml:space="preserve">2. </t>
    </r>
    <r>
      <rPr>
        <sz val="8"/>
        <rFont val="Arial"/>
        <family val="2"/>
        <charset val="1"/>
      </rPr>
      <t xml:space="preserve">Se hizo un acercamiento por parte del contratista asignado, al Archivo General de la Nación con el fin de averiguar y buscar el apoyo en la actualización de las Tablas de Retención Documental de la CSC, el AGN preguntó si el contratista asignado era profesional Archivista, teniendo en cuenta que la corporación no cuenta con un profesional archivista ni de planta ni de contrato, no fue posible recibir la información. Sin embargo, se ha venido adelantando con las dependencias las necesidades para la actualización de las TRD de la CSC, en espera de que con ayuda de la Gerencia General se pueda contar en algún momento con la presencia de un profesional archivista que concluya satisfactoriamente con el proyecto.
</t>
    </r>
    <r>
      <rPr>
        <b/>
        <sz val="8"/>
        <rFont val="Arial"/>
        <family val="2"/>
      </rPr>
      <t xml:space="preserve">3. </t>
    </r>
    <r>
      <rPr>
        <sz val="8"/>
        <rFont val="Arial"/>
        <family val="2"/>
        <charset val="1"/>
      </rPr>
      <t xml:space="preserve">El día 04/feb/2025 se solicitó y se autorizó con la Subgerencia Administrativa y Financiera el traslado de 2 equipos de computo a la bodega de archivo histórico, para realizar el procedimiento de levantamiento de FUID de las 279 cajas X200. El proyecto se había planeado a realizarse con tres contratistas, no obstante, la Gerencia únicamente asignó un contratista que ha servido de apoyo no solo para esta función sino para todas las funciones de archivo, a la fecha se ha realizado FUID de tres cajas; 1.418 registros.
</t>
    </r>
    <r>
      <rPr>
        <b/>
        <sz val="8"/>
        <rFont val="Arial"/>
        <family val="2"/>
      </rPr>
      <t xml:space="preserve">4. CUMPLIDO. </t>
    </r>
    <r>
      <rPr>
        <sz val="8"/>
        <rFont val="Arial"/>
        <family val="2"/>
        <charset val="1"/>
      </rPr>
      <t xml:space="preserve">Se viene realizando el seguimiento de temperatura de la bóveda, la cual debe estar entre 18 y 23 °C y con una humedad relativa promedio entre 55 y 60%, durante el mes de marzo y debido a las fuertes lluvias, la humedad se ha elevado por encima del 60%, el día 18/mar/2025 se remitió un correo a la Subgerencia Administrativa y Financiera informando que se presentan problemas con el dispositivo DESHUMIFICADOR, ya que el uso de este no esta disminuyendo la humedad, el almacenista general respondió que en los próximos meses se llevará a cabo el debido mantenimiento.
</t>
    </r>
    <r>
      <rPr>
        <b/>
        <sz val="8"/>
        <rFont val="Arial"/>
        <family val="2"/>
      </rPr>
      <t xml:space="preserve">5. CUMPLIDO. </t>
    </r>
    <r>
      <rPr>
        <sz val="8"/>
        <rFont val="Arial"/>
        <family val="2"/>
        <charset val="1"/>
      </rPr>
      <t xml:space="preserve">Se viene realizando el seguimiento de temperatura de la bodega de archivo central,  la cual debe estar entre 18 y 23 °C y con una humedad relativa promedio entre 55 y 60%, se había programado un seguimiento semanal, se está llevando a cabo de manera diaria, hasta el momento no se han reportado novedades a tener en cuenta.
</t>
    </r>
    <r>
      <rPr>
        <b/>
        <sz val="8"/>
        <rFont val="Arial"/>
        <family val="2"/>
      </rPr>
      <t>6.</t>
    </r>
    <r>
      <rPr>
        <sz val="8"/>
        <rFont val="Arial"/>
        <family val="2"/>
        <charset val="1"/>
      </rPr>
      <t xml:space="preserve"> Para realizar el procedimiento de cambio de las 279 cajas X200. El proyecto se había planeado a realizarse con tres contratistas, no obstante, la Gerencia únicamente asignó un contratista que ha servido de apoyo no solo para esta función sino para todas las funciones de archivo, a la fecha se ha realizado cambio de tres cajas.
</t>
    </r>
    <r>
      <rPr>
        <b/>
        <sz val="8"/>
        <rFont val="Arial"/>
        <family val="2"/>
      </rPr>
      <t>7. CUMPLIDO.</t>
    </r>
    <r>
      <rPr>
        <sz val="8"/>
        <rFont val="Arial"/>
        <family val="2"/>
        <charset val="1"/>
      </rPr>
      <t xml:space="preserve"> Se realizó un cronograma para brindar 2 capacitaciones de Gestión Documental de manera bimensual con los funcionarios y contratistas de la CSC, en el mes de febrero se realizaron dos (2) de forma virtual, a la cual se presentaron 16 asistentes, adicionalmente en el mes de enero se había llevado a cabo una capacitación por parte de un contrato de consultoría con la UT-CSC 2024 a la cual se presentaron 15 asistentes, el día 18/feb/2025 se realizó de manera presencial una capacitación en la oficina de créditos para 12 asistentes, y el 19/feb/2025 se realizó otra capacitación en la oficina de talento humano para otro funcionario. </t>
    </r>
  </si>
  <si>
    <t>PARA EL PRIMER TRIMESTRE DEL AÑO 2025 SE CUMPLIO CON EL OBJETIVO DE MANTENER UNA BUENA HIGIENE Y CONDICIONES AMBIENTALES OPTIMAS PARA EL TRABAJO EN LA SEDE PRINCIPAL DE LA CSC, MEDIANTE CONTRATO DE PRESTACION DE SERVICIOS CON LOS CONTRATOS Nº 25-001,002 Y003 Y EN MARZO CON EL CONTRATO DE ASEO Y CAFETERIA Nº 25-0003 CON LA EMPRESA SERVIASEO S.A.</t>
  </si>
  <si>
    <t>Se solicitaron cotizaciones el 28/01/2025, se reciben las mismas el 03/02/2025, se realiza soliciud de CDP y se remite a Contratación con Estudio Previo para nuevo contrato de Mantenimiento del Parque Automotor 2025 el 04/02/2025.</t>
  </si>
  <si>
    <t>EN EL PRIMER TRIMESTRE DEL AÑO SE DESPACHARON SATISFACTORIAMENTE 18 SOLICITUDES DE ELEMENTOS DE ALMACEN A LAS DEPENDENCIAS SOLICITANTES.</t>
  </si>
  <si>
    <t>ESTA ACTIVIDAD SE RALIZA EN EL SEGUNDO TRIMESTRE DEL AÑO 2025</t>
  </si>
  <si>
    <t>SE REALIZARON LOS 3 REPORTES MENSUALES EN EL SISTEMA NOVASOFT DONDE SE VERIFICA LAS ENTRADAS Y SALIDAS DEL ALMACEN EN ELEMENTOS DE CONSUMO Y ELEMENTOS DEVOLUTIVOS.</t>
  </si>
  <si>
    <t>SE ACTUALIZO EL PIGA Y PARA ESTE TRIMESTRE SE CUMPLIO CON UNA ACTIVIDAD PROGRAMADA.</t>
  </si>
  <si>
    <t>Se adelantaron las capacitaciones correspondientes a los ejes 1 y 3 del cronograma de actividades propuestas, abordando los temas de derechos humanos, constructores de paz, lenguaje incluyente y cuidado y equidad; mediante elconversaroio Me cuido para cuidarte,
No, obstante lo contemplado en el eje 6 correspondiente a actualización de la normativa de la función pública, se encuntra en proceso de cotizciónes y alianzas que permitan llevar a cabo  la capacitación contemplada</t>
  </si>
  <si>
    <t>Se realizó entrega de bonos de cine, los funcionarios que cumplieron años durante el trimiestre accedieron al día compensatorio, asi mismo los interesados accederieon al horario flexible, la sala lactante se encuentra permanentemente en disposición de las usuarias que la requerran, se realizò celebrciòn del dia del hombre y de la mujer.
Lo correspondiente a Copa Gobernación se encuentra en planeación por parte de Función Pública para iniciar a partir del mes de Mayo. lo referente a los convenios deportivos se adelantó gestión de cotización para iniciar proceso de contratación.
Lo referente alincentivo de la bicileta este se encuentra viigente mediante acto administrativo, pero a la fecha no so otrogó como quiera que los funcionarios no usan este medio de transporte para el desplazamiento a la Coporación.
Lo referente al programa servimos, se realizará una ficha gráfica para la dovulgación del mismo, la cual se traslada su socialización para el segundo trimestre</t>
  </si>
  <si>
    <t xml:space="preserve">De acuerdo al Plan Anual de SG-SST 2025, el cronograma cuento con 18 actividades programadas, de las cuales se tuvo una ejecución como tal de 17 de estas, la única que no se ejecuto como tal, es el reporte de accidente de trabajo, el cual está sujeto al evento como tal y en este primer trimestre no se tuvo este reporte en la CSC. 
Las Actividades programadas fueron: Convocatoria Comité Paritario de Seguridad y Salud en el Trabajo, Aplicación encuesta de perfil sociodemográfico, Realización de Inspección de Puestos de Trabajo, Talleres de desórdenes musculo-esqueléticos, Actualización Documentación del sistema (Caracterización, procedimientos, formatos etc.), Realizar Autoevaluación de Estándares Mínimos, Afiliación a ARL a Funcionarios y Contratistas De Nuevo Ingreso, Ingresar Ausentismos a la Plataforma Alista, Reporte Autoevaluación de estándares mínimos al ministerio del trabajo, Exámenes de Ingreso y Egreso de Funcionarios, COPASST- Roles y Responsabilidades, TRABAJADORES- Comunicación asertiva e inteligencia emocional, TRABAJADORES- Cuidemos nuestra columna vertebral, TRABAJADORES- Hábitos y estilos de vida saludable ( motivación), TRABAJADORES: Manejo de estrés y ansiedad, BRIGADISTAS: Concientización y compromiso de ser brigadista, SAFL: Mitos de la lactancia materna y normatividad  ( beneficios, propiedades y efectos a corto y largo plazo) cuidados de la madre y el bebé signos de alarma; estas fueron realizadas mediante el apoyo de la ARL Positiva y el equipo de profesionales de Talento Humano. </t>
  </si>
  <si>
    <t>El procesose generó sin  novedades</t>
  </si>
  <si>
    <t>Las incapacidades registradas corresponden a las recibidas e ingresadas al sistema de acuerdo al cronograma de nómina</t>
  </si>
  <si>
    <t>Se realizó el acompañamiento a los evaluadores para realizar las evaluaciones del desempeño laboral de 15  servidores publicos inscritos en carrera administrativa  por el periodo comprendido entre el 1o de febrero de 2024 al 31 de enero del  año 2025 y la evaluacion de periodo de prueba de 3 funcionarios DIEGO CANTE, JAIRO  MANRIQUE Y DIANA GRANADOSm se verifico se realizaran y se enviaron requerimientos para que cumplieran con esta obligacion. Quedo pendiente una evaluacion de desempeño correpondiente a una funcionaria que solicito la suspension de la evaluacion por temas de salud.</t>
  </si>
  <si>
    <t>se realizó el seguimiento y analisis al autodiagnostico del año 2024, el cual se encuentra en el Plan Estrategico de Recursos Humanoscapitulo 4 a partir de la pagina 10, cuyo cronograma de trabajo para mejorar los puntajes mas bajos se encuentra en la pagina 13.chrome-extension://efaidnbmnnnibpcajpcglclefindmkaj/https://csc.gov.co/wp-content/uploads/2025/01/1-PLAN-ESTRATEGICO-DE-TALENTO-HUMANO.pdf</t>
  </si>
  <si>
    <t>En este indicador, Talento Humano adelanto reuniones con Directivos de cada Área y los designados para el apoyo en el cumplimiento de los acuerdos de gestión, para realizar una revisión de los del 2024 y partir de ahí plantear los del 2025, para lo que se contemplaron los compromisos, objetivos y actividades de cada pilar, respondiendo a las temáticas de cada uno, estos fueron remitidos a Planeación, quienes realizaron algunas observaciones y modificación y posterior pasaron a la encargada de Talento Humano y la Subgerente Administrativa y Financiera para que tuviera una última revisión y posterior ser socializados en comité directivo y firmados.</t>
  </si>
  <si>
    <t>De acuerdo al PAC del año 2025 se tenía programado  recaudar ingresos por valor de $11.823.722.021 y se recaudó presupuestalmente la suma de $10.078.667.527, es decir el 85.2 %, de lo proyectado. Lo anterior significa que no se cumplió el tope de recaudo durante el primer trimestre 2025.</t>
  </si>
  <si>
    <t>De acuerdo con el PAC del 2025 se tenía programado ejecutar gastos durante el primer trimestre por valor de $ $11.823.722.021 y se ejecutó la suma de $ 11.468.353.732, es decir el 96.9% de lo proyectado.</t>
  </si>
  <si>
    <t>Se remitieron informes a los entes de control tales como el Chip/Cuipo/CGN/Contraloría Departamental /Secretaría de Hacienda/ requeridos en el  primer trimestre del  2025.</t>
  </si>
  <si>
    <t xml:space="preserve">Las conciliaciones bancarias se realizan mensualmente con fecha de corte al mes inmediatamente anterior en sinergia con el área de tesorería de la Entidad. Sin embargo  a la fecha se estra trabajando en las conciliaciones toda vez que se deben realizar ajustes en el sistema Novasoft de los meses enero y febrero. Ademas se encuentran pendientes las interfaces del mes de marzo para dicha gestíon. </t>
  </si>
  <si>
    <t xml:space="preserve">Para el primer trimestre de 2025, el recaudo se encuentra por debajo de lo presupuestado en aproximadamente 5,08% debido en gran medida a la demora en la contratación de asesores comerciales, los cuales son quienes incentivan el pago de cuotas y la afiliación de nuevos beneficiarios de créditos. Así mismo el cobro de cartera es deficiente en los primeros meses del año </t>
  </si>
  <si>
    <t>El porcentaje de gastos ejecutados frente al programado, radica en la Contratación de órdenes de prestación de servicios, los cuales iniciaron en su mayoría en el mes de marzo, por esta razón la ejecución se ve un tanto quedada con relación a lo programado</t>
  </si>
  <si>
    <t>Las consignaciones por identificar varían de un periodo a otro y algunas solamente se identifican cuando el dueño del crédito se comunica o envía correo solicitando el estado de su obligación o la expedición de paz y salvo, sin embargo es dispendioso este proceso y el tiempo que se dedica genera atrazos en la operación.</t>
  </si>
  <si>
    <t>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t>
  </si>
  <si>
    <t>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t>
  </si>
  <si>
    <t>Se realizó publicación y seguimiento de los planes</t>
  </si>
  <si>
    <t>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t>
  </si>
  <si>
    <t>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t>
  </si>
  <si>
    <t>El indicador cumple con las actividades programadas para el trimestre. Según las evidencias presentadas por el proceso, se registran tres contratos con fecha de inicio del 17 de enero para servicios generales en la CSC, así como un contrato general para servicios de aseo y cafetería con fecha de inicio del 5 de marzo.
Sin embargo, se observa que durante los primeros meses del año no se evidenció el suministro del servicio de cafetería en las instalaciones, lo que podría afectar la continuidad del servicio esperado por los funcionarios.
Se recomienda al proceso dar continuidad a este tipo de contrataciones, asegurando la prestación oportuna y constante de los servicios, para mantener el orden, la limpieza y el bienestar en las instalaciones de la entidad.</t>
  </si>
  <si>
    <t>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t>
  </si>
  <si>
    <t>Anexar las evidencias de las 18 solicitudes del almacén</t>
  </si>
  <si>
    <t>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t>
  </si>
  <si>
    <t>Revisar cuales serían los inventarios físicos</t>
  </si>
  <si>
    <t>El cronograma de actividades del piga, presenta 8 actividades, de las cuales solo se realizo 1</t>
  </si>
  <si>
    <t>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t>
  </si>
  <si>
    <t>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t>
  </si>
  <si>
    <t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t>
  </si>
  <si>
    <t>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t>
  </si>
  <si>
    <t>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t>
  </si>
  <si>
    <t>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t>
  </si>
  <si>
    <t>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t>
  </si>
  <si>
    <t>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t>
  </si>
  <si>
    <t>Mediante acta No. 1 de Comité Intitucional de Coordinación de Control Interno se aprueba Plan de Auditoría interna para la vigencia 2025, la cual dio inició el 1 de abril /25. 
Se anexa como evidencia el Plan de Auditoría aprobado en comité y programa de auditoría.</t>
  </si>
  <si>
    <r>
      <t xml:space="preserve">Con corte a la fecha se han realizado  los seguimientos respectivos:
- </t>
    </r>
    <r>
      <rPr>
        <b/>
        <sz val="10"/>
        <color theme="1"/>
        <rFont val="Arial"/>
        <family val="2"/>
      </rPr>
      <t>Plan de Mejoramiento vigencia 2022</t>
    </r>
    <r>
      <rPr>
        <sz val="10"/>
        <color theme="1"/>
        <rFont val="Arial"/>
        <family val="2"/>
      </rPr>
      <t xml:space="preserve">. Se remite el informe anual y semestral el 26 de diciembre de 2024, el cual fue cargado como evidencia el anterior trimestre.
- </t>
    </r>
    <r>
      <rPr>
        <b/>
        <sz val="10"/>
        <color theme="1"/>
        <rFont val="Arial"/>
        <family val="2"/>
      </rPr>
      <t>Plan de Mejoramiento vigencia 2023:</t>
    </r>
    <r>
      <rPr>
        <sz val="10"/>
        <color theme="1"/>
        <rFont val="Arial"/>
        <family val="2"/>
      </rPr>
      <t xml:space="preserve"> Fecha limite de Entrega 1er avance: 09 de julio de 2025. 
</t>
    </r>
    <r>
      <rPr>
        <u/>
        <sz val="10"/>
        <color theme="1"/>
        <rFont val="Arial"/>
        <family val="2"/>
      </rPr>
      <t>Para este trimestre no se carga evidencia ya que el seguimiento se realiza en el mes de junio.</t>
    </r>
  </si>
  <si>
    <t>Se han realizado los siguientes informes y se encuentra cargados en la página web: 
https://csc.gov.co/control-interno/
Informe de Software legal 2025
Informe de cierre PQRSDF 2do semestre 2024
Informe austeridad en el gasto cierre 4to trimestre 2024
Informe de evaluación por dependencias.</t>
  </si>
  <si>
    <t>Por parte de la OCI se realizó seguimiento a las acciones correctivas y de mejora durante el mes de febrero 2025, en cada una de las auditorías de la vigencia se comunicará al proceso si se da el cierre a las mismas o si por el contrario continuan abiertas.</t>
  </si>
  <si>
    <t>La actividad no se ha realizado, esta programada para envío en el transcurso del mes de abril 2025</t>
  </si>
  <si>
    <t>Desde la Oficina de Control Interno se viene realizando seguimiento mensual a SIA Observa verificando la rendición a tiempo de los contratos de la vigencia. Se adjunta como evidencia los pantallazos de la verificación realizada.</t>
  </si>
  <si>
    <t>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t>
  </si>
  <si>
    <t>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t>
  </si>
  <si>
    <t>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t>
  </si>
  <si>
    <t>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t>
  </si>
  <si>
    <t>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t>
  </si>
  <si>
    <t>Para el primer trimestre del año 2025, el grupo de planeación realizó una campaña de apropiación de FURAG la cual de manera semanal durante el mes de febrero y marzo a traves de correo electronico se dio conocer las pregutnas más frecuentes sobre el Formulario. Como eviendencias se anexan las ficha publicitarias</t>
  </si>
  <si>
    <t>Durante el primer trimestre de 2025, los Planes Institucionales fueron revisados y consolidados con el propósito de garantizar su coherencia y alineación con los objetivos estratégicos. Estos planes fueron presentados ante el Comité Institucional de Gestión de Desempeño para su aprobación y posterior publicación en la pagina web antes del 31 de enero. Los planes pueden ser consultados en el siguiente enlace  link: https://csc.gov.co/transparencia/. Como evidencia se encuentra el acta del Comité de Gestión y Desempeño</t>
  </si>
  <si>
    <t>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t>
  </si>
  <si>
    <t>Se recibieron 2.217 PQRSDF de las cuales 2.165 se resolvieron dentro de los términos establecidos.Las PQRSDF extemporáneas(52). Igualmente, se respondieron pero posterior a la fecha, debido al fallo informático que presentó el servidor de la página web en el mes de diciembre.</t>
  </si>
  <si>
    <t>Se realizaron 246 encuestas durante los meses de enero, febrero y marzo. Las encuestas se enfocaron en varios aspectos del servicio brindado, incluyendo el tiempo de espera, la claridad de la información proporcionada, la amabilidad del personal y la calidad de las instalaciones.Del total de los encuestados el 76.9% (189) respondieron que la información 
suministrada por el asesor frente al servicio recibido fue clara y oportuna. Quedaron 
muy satisfechos, el 10.6% (26) contestaron haber quedado satisfechos, y solo 
(0.41%) 1 persona quedó muy insatisfecha; el porcentaje restante corresponde a 
personas que no diligenciaron este ítem de la encuesta. Es importante resaltar que 
aunque solo 1 persona quedo insatisfecha, se debe tener presente como una 
oportunidad de mejora frente a la información suministrada por los asesores.</t>
  </si>
  <si>
    <t xml:space="preserve">El compromiso de incrementar la satisfacción y fidelización de nuestros afiliados se materializa a través del cumplimiento del cronograma de trabajo y actividades. A continuación, se detallan las principales acciones realizadas durante los meses de enero, febrero y marzo:
1-Capacitación tipo de clientes
2-Actualizaciones Página web:banners en la página principal,actualización líneas de crédito,publicación de preguntas frecuentes,actualización links de noticias
3-Se realizaron 2 boletines internos
4-Ferias:FERIA EN INSTITUTO DE PROTECCIÓN Y BIENESTAR ANIMAL,FERIA EN LA CORPORACIÓN  AUTÓNOMA REGIONAL,FERIA EN LA LOTERÍA DE CUNDINAMARCA.
5-Publicaciones en redes sociales:PRIMER TRIMESTRE - (ENERO, FEBRERO Y MARZO)
Durante el primer trimestre del año, se desarrollaron y gestionaron un total de 51 publicaciones en redes sociales, con el propósito de fortalecer la visibilidad institucional de la Corporación Social de Cundinamarca. </t>
  </si>
  <si>
    <t>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t>
  </si>
  <si>
    <t>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t>
  </si>
  <si>
    <t>Desde la Oficina de Prensa y Atención al Cliente, teníamos la meta para el primer trimestre de cumplir con 150 afiliaciones, y nos complace anunciar que hemos CUMPLIDO con esa meta, logrando tener 182 afiliaciones.Distribuídas de la siguiente manera:
En enero realizamos 51 afiliaciones.
En febrero realizamos 71 afiliaciones.
En marzo realizamos 60 afiliaciones.</t>
  </si>
  <si>
    <t>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t>
  </si>
  <si>
    <t>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t>
  </si>
  <si>
    <t>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t>
  </si>
  <si>
    <t>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t>
  </si>
  <si>
    <t>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t>
  </si>
  <si>
    <t>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t>
  </si>
  <si>
    <t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t>
  </si>
  <si>
    <t>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t>
  </si>
  <si>
    <t>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t>
  </si>
  <si>
    <t>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t>
  </si>
  <si>
    <t>Para este trimestre, el indicador no presenta medición.
Se sugiere al proceso revisar las recomendaciones y/o actividades pendientes del autodiagnóstico, con el fin de que, en los próximos periodos de medición, se logre mantener o mejorar la calificación obtenida.</t>
  </si>
  <si>
    <t>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t>
  </si>
  <si>
    <t>La Corporación Social de Cundinamarca mejora el Sistema de Gestión de Calidad y asegura si integración con el Modelo Integrado de Planeación y
Gestión del MECI</t>
  </si>
  <si>
    <t>Procesos</t>
  </si>
  <si>
    <t xml:space="preserve">Direccionamiento Estrategico </t>
  </si>
  <si>
    <t>Atención al Cliente</t>
  </si>
  <si>
    <t>Bienestar</t>
  </si>
  <si>
    <t>Gestión Contractual</t>
  </si>
  <si>
    <t>Gestión de la Información</t>
  </si>
  <si>
    <t xml:space="preserve">Gestión de Recursos Físicos </t>
  </si>
  <si>
    <t>Gestión del Talento Humano</t>
  </si>
  <si>
    <t>Gestión Financiera</t>
  </si>
  <si>
    <t>Gestión Jurídica</t>
  </si>
  <si>
    <t xml:space="preserve">Gestion del mejoramiento </t>
  </si>
  <si>
    <t xml:space="preserve">Cumplimiento del Plan de Acción </t>
  </si>
  <si>
    <t>Cumplimiento en % 1er trimestre</t>
  </si>
  <si>
    <t>Cumplimiento en % 2do trimestre</t>
  </si>
  <si>
    <t>Cumplimiento % en 3er trimestre</t>
  </si>
  <si>
    <t>Cumplimiento % en 4to trimestre</t>
  </si>
  <si>
    <t>1 MER TRIM</t>
  </si>
  <si>
    <t>2 DO TRIM</t>
  </si>
  <si>
    <t>3 CER TRIM</t>
  </si>
  <si>
    <t>4 TO TRIM</t>
  </si>
  <si>
    <t>TOTAL PROCESO</t>
  </si>
  <si>
    <t>Plan de acción 2025</t>
  </si>
  <si>
    <t>PROCESO DE DIRECCIONAMIENTO ESTRATEGICO</t>
  </si>
  <si>
    <t>PLANEACIÓN</t>
  </si>
  <si>
    <t xml:space="preserve">Nombre de la actividad </t>
  </si>
  <si>
    <t>1er trimestre</t>
  </si>
  <si>
    <t>2do trimestre</t>
  </si>
  <si>
    <t>3er trimestre</t>
  </si>
  <si>
    <t>4to trimestre</t>
  </si>
  <si>
    <t>Seguimiento 1er trimestre</t>
  </si>
  <si>
    <t>Seguimiento 2do trimestre</t>
  </si>
  <si>
    <t>Seguimiento 3er trimestre</t>
  </si>
  <si>
    <t>Seguimiento 4to trimestre</t>
  </si>
  <si>
    <t>Cumplimiento x trimestre</t>
  </si>
  <si>
    <t>PROCESO DE ATENCIÓN AL CLIENTE</t>
  </si>
  <si>
    <t>PROCESO DE BIENESTAR</t>
  </si>
  <si>
    <t>OBSERVACIONES Y RECOMENDACIONES</t>
  </si>
  <si>
    <t>1er. trimestre</t>
  </si>
  <si>
    <t>2do. trimestre</t>
  </si>
  <si>
    <t>3er. trimestre</t>
  </si>
  <si>
    <t>4to. trimestre</t>
  </si>
  <si>
    <t>Cumplimiento a diciembre del 2025</t>
  </si>
  <si>
    <t>PROCESO DE CRÉDITO Y CARTERA</t>
  </si>
  <si>
    <t>PROCESO DE GESTIÓN CONTRACTUAL</t>
  </si>
  <si>
    <t>PROCESO DE GESTIÓN DE LA INFORMACIÓN</t>
  </si>
  <si>
    <t>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t>
  </si>
  <si>
    <t>PROCESO DE GESTIÓN DE RECURSOS FÍSICOS</t>
  </si>
  <si>
    <t>PROCESO DE GESTIÓN DE TALENTO HUMANO</t>
  </si>
  <si>
    <t>PROCESO DE GESTIÓN FINANCIERA</t>
  </si>
  <si>
    <t>PROCESO DE GESTIÓN JURÍDICA</t>
  </si>
  <si>
    <t>PROCESO DE GESTION DEL MEJORAMIENTO</t>
  </si>
  <si>
    <t>Total al 31 diciembre-2025</t>
  </si>
  <si>
    <t>Crédito</t>
  </si>
  <si>
    <t>Cartera</t>
  </si>
  <si>
    <t>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t>
  </si>
  <si>
    <t>Se realizó seguimiento a la plataforma del SUIT, donde se registraron las diferentes PQRS presentadas drante el periodo a los tramites inscritos. Se verifica que la estartegia de racionalizacion quedo actualizada para el trámites de afiliaciones.</t>
  </si>
  <si>
    <t>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t>
  </si>
  <si>
    <t>Se efectuaron por los contratistas encargados de apoyo a la supervisión de la Representación Judicial, 1202 procesos consultados en la plataforma de la rama judicial a saber, de la siguiente manera:
Cristian Javier Velandia Urbina 232 Camilo Andrés Ángel Pérez 102 Juan Diego Arias Gómez realizó 418, Mónica Juliana Bohorquez Guisa realizó 104, Claudia Torres realizó 80, Gabriela Garzón 59, Rosmira Barajas realizó 180 y Gloria Cecilia Rodríguez Valencia realizó 27. 
Las evidencias del indicador de la gestión jurídica de las obligaciones pueden ser consultadas en la dirección electrónica del drive BASE UNIFICADA REVISIÓN MENSUAL 2025 - FEBRERO, UNIFICADA REVISIÓN MENSUAL 2025 - MARZO 2025, cuyas bases contiene a su vez las evidencias respectivas</t>
  </si>
  <si>
    <t>Se efectuaron seis (6) sesiones del Comité de Conciliación y Defensa Judicial en las siguientes fechas de las cuales me permito remitir:
Acta No. 1 del 29 de enero del 2025
Acta No. 2 del 31 de enero del 2025
Acta No. 3 del 19 de febrero del 2025
Acta No. 4 del 29 de febrero del 2025
Acta No. 5 del 13 de marzo del 2025
Acta No. 6 del 27 de marzo del 2025
NOTA. El primer informe que ha de entregarse corresponde al periodo comprendido entre el 1 de enero al 30 de junio del 2025, el cual debe ser entregado en julio del 2025 al Comité de Conciliación y Defensa Judicial.</t>
  </si>
  <si>
    <t>Se remite el informe del seguimiento a los desistimientos tacitos
NO APLICA.Se precisa que este informe debe ser entregado semestralmente.</t>
  </si>
  <si>
    <t>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t>
  </si>
  <si>
    <t>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t>
  </si>
  <si>
    <t>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t>
  </si>
  <si>
    <t>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t>
  </si>
  <si>
    <t>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t>
  </si>
  <si>
    <t>CUMPLIMIENTO ACUMULADO PLAN DE ACCION</t>
  </si>
  <si>
    <t>Al finalizar el primer trimestre, se solicitó vía correo electrónico a cada uno de los lideres del proceso los avances y acciones realizadas para cumplimiento de los indicadores, asi como publicar las evidencias en la ruta de la calidad. Se revisaron y se dio seguimiento a lo aportado, solicitando en su mayoria ajustes. El primer seguimiento del plan de accion se encuenra publicado en la ruta de calidad  con un avance del 17.24%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</si>
</sst>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00_);_(* \(#,##0.00\);_(* \-??_);_(@_)"/>
    <numFmt numFmtId="165" formatCode="_-&quot;$ &quot;* #,##0.00_-;&quot;-$ &quot;* #,##0.00_-;_-&quot;$ &quot;* \-??_-;_-@_-"/>
    <numFmt numFmtId="166" formatCode="0\ %"/>
    <numFmt numFmtId="167" formatCode="0.00\ %"/>
    <numFmt numFmtId="168" formatCode="dd/mm/yyyy"/>
    <numFmt numFmtId="169" formatCode="0.0%"/>
    <numFmt numFmtId="170" formatCode="&quot;$ &quot;#,##0.00;[Red]&quot;-$ &quot;#,##0.00"/>
    <numFmt numFmtId="171" formatCode="0.0\ %"/>
  </numFmts>
  <fonts count="46" x14ac:knownFonts="1">
    <font>
      <sz val="11"/>
      <color theme="1"/>
      <name val="Calibri"/>
      <charset val="1"/>
    </font>
    <font>
      <sz val="11"/>
      <color rgb="FF000000"/>
      <name val="Calibri"/>
      <family val="2"/>
      <charset val="1"/>
    </font>
    <font>
      <sz val="11"/>
      <color theme="1"/>
      <name val="Calibri"/>
      <family val="2"/>
      <charset val="1"/>
    </font>
    <font>
      <sz val="10"/>
      <name val="Arial"/>
      <family val="2"/>
      <charset val="1"/>
    </font>
    <font>
      <sz val="11"/>
      <name val="Calibri"/>
      <family val="2"/>
      <charset val="1"/>
    </font>
    <font>
      <b/>
      <sz val="11"/>
      <name val="Calibri"/>
      <family val="2"/>
      <charset val="1"/>
    </font>
    <font>
      <sz val="11"/>
      <name val="Arial"/>
      <family val="2"/>
      <charset val="1"/>
    </font>
    <font>
      <b/>
      <sz val="11"/>
      <name val="Arial"/>
      <family val="2"/>
      <charset val="1"/>
    </font>
    <font>
      <b/>
      <sz val="26"/>
      <name val="Arial"/>
      <family val="2"/>
      <charset val="1"/>
    </font>
    <font>
      <b/>
      <sz val="18"/>
      <name val="Arial"/>
      <family val="2"/>
      <charset val="1"/>
    </font>
    <font>
      <sz val="16"/>
      <name val="Arial"/>
      <family val="2"/>
      <charset val="1"/>
    </font>
    <font>
      <b/>
      <sz val="16"/>
      <name val="Arial"/>
      <family val="2"/>
      <charset val="1"/>
    </font>
    <font>
      <b/>
      <sz val="10"/>
      <name val="Arial"/>
      <family val="2"/>
      <charset val="1"/>
    </font>
    <font>
      <sz val="12"/>
      <name val="Arial"/>
      <family val="2"/>
      <charset val="1"/>
    </font>
    <font>
      <b/>
      <sz val="12"/>
      <name val="Arial"/>
      <family val="2"/>
      <charset val="1"/>
    </font>
    <font>
      <sz val="11"/>
      <color theme="1"/>
      <name val="Calibri"/>
      <family val="2"/>
    </font>
    <font>
      <sz val="10"/>
      <name val="Arial"/>
      <family val="2"/>
    </font>
    <font>
      <sz val="11"/>
      <name val="Arial"/>
      <family val="2"/>
    </font>
    <font>
      <b/>
      <sz val="10"/>
      <name val="Arial"/>
      <family val="2"/>
    </font>
    <font>
      <b/>
      <sz val="14"/>
      <name val="Arial"/>
      <family val="2"/>
      <charset val="1"/>
    </font>
    <font>
      <sz val="10"/>
      <color theme="1"/>
      <name val="Arial"/>
      <family val="2"/>
      <charset val="1"/>
    </font>
    <font>
      <sz val="12"/>
      <color theme="1"/>
      <name val="Arial"/>
      <family val="2"/>
    </font>
    <font>
      <sz val="10"/>
      <name val="Times New Roman"/>
      <family val="1"/>
    </font>
    <font>
      <b/>
      <sz val="22"/>
      <name val="Arial"/>
      <family val="2"/>
      <charset val="1"/>
    </font>
    <font>
      <sz val="10"/>
      <color rgb="FFFF0000"/>
      <name val="Arial"/>
      <family val="2"/>
      <charset val="1"/>
    </font>
    <font>
      <sz val="9"/>
      <name val="Arial"/>
      <family val="2"/>
    </font>
    <font>
      <b/>
      <sz val="9"/>
      <name val="Arial"/>
      <family val="2"/>
    </font>
    <font>
      <sz val="8"/>
      <name val="Arial"/>
      <family val="2"/>
    </font>
    <font>
      <b/>
      <sz val="8"/>
      <name val="Arial"/>
      <family val="2"/>
    </font>
    <font>
      <sz val="8"/>
      <name val="Arial"/>
      <family val="2"/>
      <charset val="1"/>
    </font>
    <font>
      <sz val="10"/>
      <color theme="1"/>
      <name val="Arial"/>
      <family val="2"/>
    </font>
    <font>
      <b/>
      <sz val="10"/>
      <color theme="1"/>
      <name val="Arial"/>
      <family val="2"/>
    </font>
    <font>
      <u/>
      <sz val="10"/>
      <color theme="1"/>
      <name val="Arial"/>
      <family val="2"/>
    </font>
    <font>
      <sz val="9"/>
      <name val="Arial"/>
      <family val="2"/>
      <charset val="1"/>
    </font>
    <font>
      <sz val="11"/>
      <color theme="1"/>
      <name val="Arial"/>
      <family val="2"/>
      <charset val="1"/>
    </font>
    <font>
      <b/>
      <sz val="20"/>
      <color theme="0"/>
      <name val="Arial"/>
      <family val="2"/>
      <charset val="1"/>
    </font>
    <font>
      <b/>
      <sz val="12"/>
      <color theme="0"/>
      <name val="Arial"/>
      <family val="2"/>
      <charset val="1"/>
    </font>
    <font>
      <b/>
      <sz val="11"/>
      <color theme="0"/>
      <name val="Arial"/>
      <family val="2"/>
      <charset val="1"/>
    </font>
    <font>
      <b/>
      <sz val="11"/>
      <color theme="1"/>
      <name val="Arial"/>
      <family val="2"/>
      <charset val="1"/>
    </font>
    <font>
      <b/>
      <sz val="16"/>
      <color theme="0"/>
      <name val="Arial"/>
      <family val="2"/>
      <charset val="1"/>
    </font>
    <font>
      <b/>
      <sz val="10"/>
      <color theme="0"/>
      <name val="Arial"/>
      <family val="2"/>
      <charset val="1"/>
    </font>
    <font>
      <b/>
      <sz val="18"/>
      <color theme="0"/>
      <name val="Calibri"/>
      <family val="2"/>
      <charset val="1"/>
    </font>
    <font>
      <sz val="8"/>
      <color theme="1"/>
      <name val="Arial"/>
      <family val="2"/>
      <charset val="1"/>
    </font>
    <font>
      <b/>
      <sz val="18"/>
      <color theme="0"/>
      <name val="Arial"/>
      <family val="2"/>
      <charset val="1"/>
    </font>
    <font>
      <sz val="12"/>
      <color rgb="FFFF0000"/>
      <name val="Calibri"/>
      <family val="2"/>
      <charset val="1"/>
    </font>
    <font>
      <b/>
      <sz val="14"/>
      <color rgb="FFFF0000"/>
      <name val="Calibri"/>
      <family val="2"/>
      <charset val="1"/>
    </font>
  </fonts>
  <fills count="12">
    <fill>
      <patternFill patternType="none"/>
    </fill>
    <fill>
      <patternFill patternType="gray125"/>
    </fill>
    <fill>
      <patternFill patternType="solid">
        <fgColor theme="0"/>
        <bgColor rgb="FFFFF2CC"/>
      </patternFill>
    </fill>
    <fill>
      <patternFill patternType="solid">
        <fgColor theme="0" tint="-0.14999847407452621"/>
        <bgColor rgb="FFBDD7EE"/>
      </patternFill>
    </fill>
    <fill>
      <patternFill patternType="solid">
        <fgColor theme="9" tint="0.79989013336588644"/>
        <bgColor rgb="FFFBE5D6"/>
      </patternFill>
    </fill>
    <fill>
      <patternFill patternType="solid">
        <fgColor theme="9" tint="0.79998168889431442"/>
        <bgColor rgb="FFBDD7EE"/>
      </patternFill>
    </fill>
    <fill>
      <patternFill patternType="solid">
        <fgColor theme="9" tint="0.79998168889431442"/>
        <bgColor rgb="FFFFF2CC"/>
      </patternFill>
    </fill>
    <fill>
      <patternFill patternType="solid">
        <fgColor theme="0"/>
        <bgColor indexed="64"/>
      </patternFill>
    </fill>
    <fill>
      <patternFill patternType="solid">
        <fgColor theme="9" tint="0.79998168889431442"/>
        <bgColor indexed="64"/>
      </patternFill>
    </fill>
    <fill>
      <patternFill patternType="solid">
        <fgColor rgb="FF002060"/>
        <bgColor rgb="FF203864"/>
      </patternFill>
    </fill>
    <fill>
      <patternFill patternType="solid">
        <fgColor theme="7" tint="0.79989013336588644"/>
        <bgColor rgb="FFFBE5D6"/>
      </patternFill>
    </fill>
    <fill>
      <patternFill patternType="solid">
        <fgColor rgb="FF00B050"/>
        <bgColor rgb="FFFFF2CC"/>
      </patternFill>
    </fill>
  </fills>
  <borders count="26">
    <border>
      <left/>
      <right/>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top style="medium">
        <color auto="1"/>
      </top>
      <bottom/>
      <diagonal/>
    </border>
    <border>
      <left style="medium">
        <color auto="1"/>
      </left>
      <right style="medium">
        <color auto="1"/>
      </right>
      <top/>
      <bottom style="medium">
        <color auto="1"/>
      </bottom>
      <diagonal/>
    </border>
    <border>
      <left style="medium">
        <color auto="1"/>
      </left>
      <right style="medium">
        <color auto="1"/>
      </right>
      <top style="medium">
        <color auto="1"/>
      </top>
      <bottom style="thin">
        <color auto="1"/>
      </bottom>
      <diagonal/>
    </border>
    <border>
      <left style="medium">
        <color auto="1"/>
      </left>
      <right/>
      <top style="medium">
        <color auto="1"/>
      </top>
      <bottom style="medium">
        <color auto="1"/>
      </bottom>
      <diagonal/>
    </border>
    <border>
      <left style="medium">
        <color auto="1"/>
      </left>
      <right/>
      <top/>
      <bottom/>
      <diagonal/>
    </border>
    <border>
      <left/>
      <right/>
      <top style="medium">
        <color auto="1"/>
      </top>
      <bottom/>
      <diagonal/>
    </border>
    <border>
      <left/>
      <right/>
      <top style="medium">
        <color auto="1"/>
      </top>
      <bottom style="medium">
        <color auto="1"/>
      </bottom>
      <diagonal/>
    </border>
    <border>
      <left/>
      <right style="medium">
        <color auto="1"/>
      </right>
      <top/>
      <bottom/>
      <diagonal/>
    </border>
    <border>
      <left style="medium">
        <color auto="1"/>
      </left>
      <right style="medium">
        <color auto="1"/>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top style="thin">
        <color auto="1"/>
      </top>
      <bottom style="medium">
        <color indexed="64"/>
      </bottom>
      <diagonal/>
    </border>
    <border>
      <left style="medium">
        <color rgb="FF000000"/>
      </left>
      <right style="medium">
        <color rgb="FF000000"/>
      </right>
      <top style="medium">
        <color indexed="64"/>
      </top>
      <bottom style="thin">
        <color rgb="FF000000"/>
      </bottom>
      <diagonal/>
    </border>
    <border>
      <left style="thin">
        <color auto="1"/>
      </left>
      <right/>
      <top/>
      <bottom style="thin">
        <color auto="1"/>
      </bottom>
      <diagonal/>
    </border>
    <border>
      <left style="thin">
        <color auto="1"/>
      </left>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6">
    <xf numFmtId="0" fontId="0" fillId="0" borderId="0"/>
    <xf numFmtId="166" fontId="15" fillId="0" borderId="0" applyBorder="0" applyProtection="0"/>
    <xf numFmtId="164" fontId="1" fillId="0" borderId="0"/>
    <xf numFmtId="165" fontId="15" fillId="0" borderId="0" applyBorder="0" applyProtection="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166" fontId="15" fillId="0" borderId="0" applyBorder="0" applyProtection="0"/>
    <xf numFmtId="166" fontId="15" fillId="0" borderId="0" applyBorder="0" applyProtection="0"/>
    <xf numFmtId="0" fontId="15" fillId="0" borderId="0"/>
  </cellStyleXfs>
  <cellXfs count="242">
    <xf numFmtId="0" fontId="0" fillId="0" borderId="0" xfId="0"/>
    <xf numFmtId="0" fontId="2" fillId="0" borderId="0" xfId="0" applyFont="1"/>
    <xf numFmtId="0" fontId="4" fillId="2" borderId="0" xfId="0" applyFont="1" applyFill="1"/>
    <xf numFmtId="0" fontId="4" fillId="2" borderId="0" xfId="0" applyFont="1" applyFill="1" applyAlignment="1">
      <alignment horizontal="center"/>
    </xf>
    <xf numFmtId="0" fontId="5" fillId="2" borderId="0" xfId="0" applyFont="1" applyFill="1"/>
    <xf numFmtId="0" fontId="6" fillId="2" borderId="0" xfId="0" applyFont="1" applyFill="1"/>
    <xf numFmtId="0" fontId="6" fillId="2" borderId="0" xfId="0" applyFont="1" applyFill="1" applyAlignment="1">
      <alignment horizontal="center"/>
    </xf>
    <xf numFmtId="0" fontId="7" fillId="2" borderId="0" xfId="0" applyFont="1" applyFill="1"/>
    <xf numFmtId="4" fontId="3" fillId="2" borderId="0" xfId="0" applyNumberFormat="1" applyFont="1" applyFill="1" applyAlignment="1">
      <alignment horizontal="center" vertical="center"/>
    </xf>
    <xf numFmtId="4" fontId="8" fillId="2" borderId="0" xfId="0" applyNumberFormat="1" applyFont="1" applyFill="1" applyAlignment="1">
      <alignment horizontal="center" vertical="center"/>
    </xf>
    <xf numFmtId="0" fontId="11" fillId="2" borderId="0" xfId="0" applyFont="1" applyFill="1" applyAlignment="1">
      <alignment vertical="center"/>
    </xf>
    <xf numFmtId="0" fontId="12" fillId="2" borderId="0" xfId="0" applyFont="1" applyFill="1" applyAlignment="1">
      <alignment horizontal="center" vertical="center"/>
    </xf>
    <xf numFmtId="0" fontId="13" fillId="2" borderId="0" xfId="0" applyFont="1" applyFill="1"/>
    <xf numFmtId="0" fontId="13" fillId="2" borderId="0" xfId="0" applyFont="1" applyFill="1" applyAlignment="1">
      <alignment horizontal="center"/>
    </xf>
    <xf numFmtId="0" fontId="14" fillId="2" borderId="0" xfId="0" applyFont="1" applyFill="1"/>
    <xf numFmtId="0" fontId="12" fillId="3" borderId="3" xfId="0" applyFont="1" applyFill="1" applyBorder="1" applyAlignment="1">
      <alignment vertical="center" wrapText="1"/>
    </xf>
    <xf numFmtId="0" fontId="12" fillId="3" borderId="4" xfId="0" applyFont="1" applyFill="1" applyBorder="1" applyAlignment="1">
      <alignment vertical="center" wrapText="1"/>
    </xf>
    <xf numFmtId="0" fontId="12" fillId="3" borderId="5"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6" xfId="0" applyFont="1" applyFill="1" applyBorder="1" applyAlignment="1">
      <alignment horizontal="center" vertical="center" textRotation="90" wrapText="1"/>
    </xf>
    <xf numFmtId="167" fontId="12" fillId="3" borderId="6" xfId="0" applyNumberFormat="1" applyFont="1" applyFill="1" applyBorder="1" applyAlignment="1">
      <alignment horizontal="center" vertical="center" textRotation="90" wrapText="1"/>
    </xf>
    <xf numFmtId="0" fontId="12" fillId="3" borderId="3" xfId="0" applyFont="1" applyFill="1" applyBorder="1" applyAlignment="1">
      <alignment horizontal="center" vertical="center" wrapText="1"/>
    </xf>
    <xf numFmtId="0" fontId="12" fillId="3" borderId="7" xfId="0" applyFont="1" applyFill="1" applyBorder="1" applyAlignment="1">
      <alignment vertical="center" wrapText="1"/>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xf>
    <xf numFmtId="166" fontId="3" fillId="2" borderId="1" xfId="0" applyNumberFormat="1" applyFont="1" applyFill="1" applyBorder="1" applyAlignment="1">
      <alignment horizontal="center" vertical="center" wrapText="1"/>
    </xf>
    <xf numFmtId="168" fontId="3" fillId="2" borderId="1" xfId="0" applyNumberFormat="1" applyFont="1" applyFill="1" applyBorder="1" applyAlignment="1">
      <alignment horizontal="center" vertical="center"/>
    </xf>
    <xf numFmtId="1" fontId="3" fillId="2" borderId="1" xfId="1" applyNumberFormat="1" applyFont="1" applyFill="1" applyBorder="1" applyAlignment="1" applyProtection="1">
      <alignment horizontal="center" vertical="center"/>
    </xf>
    <xf numFmtId="167" fontId="3" fillId="2" borderId="1" xfId="0" applyNumberFormat="1" applyFont="1" applyFill="1" applyBorder="1" applyAlignment="1">
      <alignment horizontal="center" vertical="center" wrapText="1"/>
    </xf>
    <xf numFmtId="167" fontId="12" fillId="2" borderId="1" xfId="0" applyNumberFormat="1" applyFont="1" applyFill="1" applyBorder="1" applyAlignment="1">
      <alignment horizontal="center" vertical="center"/>
    </xf>
    <xf numFmtId="166" fontId="3" fillId="2" borderId="1" xfId="1" applyFont="1" applyFill="1" applyBorder="1" applyAlignment="1" applyProtection="1">
      <alignment horizontal="center" vertical="center"/>
    </xf>
    <xf numFmtId="1" fontId="3" fillId="2" borderId="1" xfId="0" applyNumberFormat="1" applyFont="1" applyFill="1" applyBorder="1" applyAlignment="1">
      <alignment horizontal="center" vertical="center" wrapText="1"/>
    </xf>
    <xf numFmtId="1" fontId="3" fillId="2" borderId="1" xfId="1" applyNumberFormat="1" applyFont="1" applyFill="1" applyBorder="1" applyAlignment="1" applyProtection="1">
      <alignment horizontal="center" vertical="center" wrapText="1"/>
    </xf>
    <xf numFmtId="3" fontId="3" fillId="2" borderId="1" xfId="1" applyNumberFormat="1" applyFont="1" applyFill="1" applyBorder="1" applyAlignment="1" applyProtection="1">
      <alignment horizontal="center" vertical="center"/>
    </xf>
    <xf numFmtId="167" fontId="5" fillId="2" borderId="0" xfId="0" applyNumberFormat="1" applyFont="1" applyFill="1"/>
    <xf numFmtId="1" fontId="3" fillId="0" borderId="1" xfId="0" applyNumberFormat="1" applyFont="1" applyBorder="1" applyAlignment="1">
      <alignment horizontal="center" vertical="center" wrapText="1"/>
    </xf>
    <xf numFmtId="1" fontId="3" fillId="0" borderId="1" xfId="1" applyNumberFormat="1" applyFont="1" applyBorder="1" applyAlignment="1" applyProtection="1">
      <alignment horizontal="center" vertical="center"/>
    </xf>
    <xf numFmtId="166" fontId="3" fillId="0" borderId="1" xfId="0" applyNumberFormat="1" applyFont="1" applyBorder="1" applyAlignment="1">
      <alignment horizontal="center" vertical="center" wrapText="1"/>
    </xf>
    <xf numFmtId="0" fontId="3" fillId="0" borderId="1" xfId="0" applyFont="1" applyBorder="1" applyAlignment="1">
      <alignment horizontal="center" vertical="center" wrapText="1"/>
    </xf>
    <xf numFmtId="1" fontId="3" fillId="0" borderId="1" xfId="0" applyNumberFormat="1" applyFont="1" applyBorder="1" applyAlignment="1">
      <alignment horizontal="center" vertical="center"/>
    </xf>
    <xf numFmtId="167" fontId="3" fillId="0" borderId="1" xfId="0" applyNumberFormat="1" applyFont="1" applyBorder="1" applyAlignment="1">
      <alignment horizontal="center" vertical="center" wrapText="1"/>
    </xf>
    <xf numFmtId="0" fontId="17"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1" fontId="16" fillId="2" borderId="1" xfId="0" applyNumberFormat="1" applyFont="1" applyFill="1" applyBorder="1" applyAlignment="1">
      <alignment horizontal="center" vertical="center"/>
    </xf>
    <xf numFmtId="166" fontId="16" fillId="2" borderId="1" xfId="0" applyNumberFormat="1" applyFont="1" applyFill="1" applyBorder="1" applyAlignment="1">
      <alignment horizontal="center" vertical="center" wrapText="1"/>
    </xf>
    <xf numFmtId="168" fontId="16" fillId="2" borderId="1" xfId="0" applyNumberFormat="1" applyFont="1" applyFill="1" applyBorder="1" applyAlignment="1">
      <alignment horizontal="center" vertical="center"/>
    </xf>
    <xf numFmtId="1" fontId="16" fillId="2" borderId="1" xfId="1" applyNumberFormat="1" applyFont="1" applyFill="1" applyBorder="1" applyAlignment="1" applyProtection="1">
      <alignment horizontal="center" vertical="center"/>
    </xf>
    <xf numFmtId="167" fontId="16" fillId="2" borderId="1" xfId="0" applyNumberFormat="1" applyFont="1" applyFill="1" applyBorder="1" applyAlignment="1">
      <alignment horizontal="center" vertical="center" wrapText="1"/>
    </xf>
    <xf numFmtId="167" fontId="18" fillId="2" borderId="1" xfId="0" applyNumberFormat="1" applyFont="1" applyFill="1" applyBorder="1" applyAlignment="1">
      <alignment horizontal="center" vertical="center"/>
    </xf>
    <xf numFmtId="0" fontId="16" fillId="2" borderId="1" xfId="1" applyNumberFormat="1" applyFont="1" applyFill="1" applyBorder="1" applyAlignment="1" applyProtection="1">
      <alignment horizontal="center" vertical="center" wrapText="1"/>
    </xf>
    <xf numFmtId="0" fontId="16" fillId="0" borderId="0" xfId="0" applyFont="1"/>
    <xf numFmtId="1" fontId="16" fillId="2" borderId="1" xfId="0" applyNumberFormat="1" applyFont="1" applyFill="1" applyBorder="1" applyAlignment="1">
      <alignment horizontal="center" vertical="center" wrapText="1"/>
    </xf>
    <xf numFmtId="0" fontId="6" fillId="0" borderId="0" xfId="0" applyFont="1"/>
    <xf numFmtId="2" fontId="3" fillId="2" borderId="1" xfId="0" applyNumberFormat="1" applyFont="1" applyFill="1" applyBorder="1" applyAlignment="1">
      <alignment horizontal="center" vertical="center"/>
    </xf>
    <xf numFmtId="167" fontId="12" fillId="2" borderId="8" xfId="0" applyNumberFormat="1" applyFont="1" applyFill="1" applyBorder="1" applyAlignment="1">
      <alignment horizontal="center" vertical="center"/>
    </xf>
    <xf numFmtId="0" fontId="3" fillId="2" borderId="9" xfId="0" applyFont="1" applyFill="1" applyBorder="1" applyAlignment="1">
      <alignment horizontal="center" vertical="center" wrapText="1"/>
    </xf>
    <xf numFmtId="0" fontId="3" fillId="0" borderId="1" xfId="0" applyFont="1" applyBorder="1" applyAlignment="1">
      <alignment horizontal="center" vertical="center"/>
    </xf>
    <xf numFmtId="1" fontId="3" fillId="2" borderId="0" xfId="0" applyNumberFormat="1" applyFont="1" applyFill="1" applyAlignment="1">
      <alignment horizontal="center" vertical="center"/>
    </xf>
    <xf numFmtId="0" fontId="3" fillId="2" borderId="0" xfId="0" applyFont="1" applyFill="1" applyAlignment="1">
      <alignment horizontal="center" vertical="center" wrapText="1"/>
    </xf>
    <xf numFmtId="166" fontId="16" fillId="2" borderId="1" xfId="1" applyFont="1" applyFill="1" applyBorder="1" applyAlignment="1" applyProtection="1">
      <alignment horizontal="center" vertical="center"/>
    </xf>
    <xf numFmtId="2" fontId="16" fillId="2" borderId="1" xfId="1" applyNumberFormat="1" applyFont="1" applyFill="1" applyBorder="1" applyAlignment="1" applyProtection="1">
      <alignment horizontal="center" vertical="center"/>
    </xf>
    <xf numFmtId="167" fontId="16" fillId="2" borderId="1" xfId="1" applyNumberFormat="1" applyFont="1" applyFill="1" applyBorder="1" applyAlignment="1" applyProtection="1">
      <alignment horizontal="center" vertical="center"/>
    </xf>
    <xf numFmtId="9" fontId="16" fillId="2" borderId="1" xfId="0" applyNumberFormat="1" applyFont="1" applyFill="1" applyBorder="1" applyAlignment="1">
      <alignment horizontal="center" vertical="center" wrapText="1"/>
    </xf>
    <xf numFmtId="9" fontId="16" fillId="0" borderId="0" xfId="0" applyNumberFormat="1" applyFont="1" applyAlignment="1">
      <alignment horizontal="center" vertical="center"/>
    </xf>
    <xf numFmtId="3" fontId="16" fillId="0" borderId="1" xfId="1" applyNumberFormat="1" applyFont="1" applyBorder="1" applyAlignment="1" applyProtection="1">
      <alignment horizontal="center" vertical="center"/>
    </xf>
    <xf numFmtId="10" fontId="16" fillId="2" borderId="1" xfId="0" applyNumberFormat="1" applyFont="1" applyFill="1" applyBorder="1" applyAlignment="1">
      <alignment horizontal="center" vertical="center" wrapText="1"/>
    </xf>
    <xf numFmtId="169" fontId="16" fillId="2" borderId="1" xfId="1" applyNumberFormat="1" applyFont="1" applyFill="1" applyBorder="1" applyAlignment="1" applyProtection="1">
      <alignment horizontal="center" vertical="center"/>
    </xf>
    <xf numFmtId="10" fontId="16" fillId="2" borderId="1" xfId="0" applyNumberFormat="1" applyFont="1" applyFill="1" applyBorder="1" applyAlignment="1">
      <alignment horizontal="center" vertical="center"/>
    </xf>
    <xf numFmtId="167" fontId="12" fillId="0" borderId="1" xfId="0" applyNumberFormat="1" applyFont="1" applyBorder="1" applyAlignment="1">
      <alignment horizontal="center" vertical="center"/>
    </xf>
    <xf numFmtId="167" fontId="3" fillId="2" borderId="4" xfId="0" applyNumberFormat="1" applyFont="1" applyFill="1" applyBorder="1" applyAlignment="1">
      <alignment horizontal="center" vertical="center" wrapText="1"/>
    </xf>
    <xf numFmtId="167" fontId="16" fillId="2" borderId="4" xfId="0" applyNumberFormat="1" applyFont="1" applyFill="1" applyBorder="1" applyAlignment="1">
      <alignment horizontal="center" vertical="center" wrapText="1"/>
    </xf>
    <xf numFmtId="4" fontId="3" fillId="0" borderId="0" xfId="0" applyNumberFormat="1" applyFont="1" applyAlignment="1">
      <alignment vertical="center"/>
    </xf>
    <xf numFmtId="0" fontId="3" fillId="0" borderId="0" xfId="0" applyFont="1"/>
    <xf numFmtId="0" fontId="4" fillId="0" borderId="0" xfId="0" applyFont="1"/>
    <xf numFmtId="0" fontId="12" fillId="3" borderId="1" xfId="0" applyFont="1" applyFill="1" applyBorder="1" applyAlignment="1">
      <alignment vertical="center" wrapText="1"/>
    </xf>
    <xf numFmtId="4" fontId="3" fillId="0" borderId="5" xfId="0" applyNumberFormat="1" applyFont="1" applyBorder="1" applyAlignment="1">
      <alignment vertical="center"/>
    </xf>
    <xf numFmtId="0" fontId="9" fillId="2" borderId="17" xfId="0" applyFont="1" applyFill="1" applyBorder="1" applyAlignment="1">
      <alignment horizontal="left" vertical="center" wrapText="1"/>
    </xf>
    <xf numFmtId="0" fontId="10" fillId="2" borderId="18" xfId="0" applyFont="1" applyFill="1" applyBorder="1" applyAlignment="1">
      <alignment horizontal="left" vertical="center"/>
    </xf>
    <xf numFmtId="4" fontId="3" fillId="0" borderId="14" xfId="0" applyNumberFormat="1" applyFont="1" applyBorder="1" applyAlignment="1">
      <alignment vertical="center"/>
    </xf>
    <xf numFmtId="0" fontId="9" fillId="2" borderId="19" xfId="0" applyFont="1" applyFill="1" applyBorder="1" applyAlignment="1">
      <alignment horizontal="left" vertical="center" wrapText="1"/>
    </xf>
    <xf numFmtId="0" fontId="10" fillId="2" borderId="16" xfId="0" applyFont="1" applyFill="1" applyBorder="1" applyAlignment="1">
      <alignment horizontal="left" vertical="center" wrapText="1"/>
    </xf>
    <xf numFmtId="166" fontId="14" fillId="4" borderId="3" xfId="0" applyNumberFormat="1" applyFont="1" applyFill="1" applyBorder="1" applyAlignment="1">
      <alignment horizontal="center" vertical="center" wrapText="1"/>
    </xf>
    <xf numFmtId="166" fontId="14" fillId="3" borderId="4" xfId="0" applyNumberFormat="1" applyFont="1" applyFill="1" applyBorder="1" applyAlignment="1">
      <alignment horizontal="center" vertical="center" wrapText="1"/>
    </xf>
    <xf numFmtId="166" fontId="14" fillId="4" borderId="4" xfId="0" applyNumberFormat="1" applyFont="1" applyFill="1" applyBorder="1" applyAlignment="1">
      <alignment horizontal="center" vertical="center" wrapText="1"/>
    </xf>
    <xf numFmtId="166" fontId="14" fillId="5" borderId="4" xfId="0" applyNumberFormat="1" applyFont="1" applyFill="1" applyBorder="1" applyAlignment="1">
      <alignment horizontal="center" vertical="center" wrapText="1"/>
    </xf>
    <xf numFmtId="0" fontId="3" fillId="2" borderId="1" xfId="0" applyFont="1" applyFill="1" applyBorder="1" applyAlignment="1">
      <alignment horizontal="justify" vertical="center" wrapText="1"/>
    </xf>
    <xf numFmtId="0" fontId="3" fillId="4" borderId="1" xfId="0" applyFont="1" applyFill="1" applyBorder="1" applyAlignment="1">
      <alignment horizontal="justify" vertical="center"/>
    </xf>
    <xf numFmtId="0" fontId="3" fillId="6" borderId="1" xfId="0" applyFont="1" applyFill="1" applyBorder="1" applyAlignment="1">
      <alignment horizontal="justify" vertical="center" wrapText="1"/>
    </xf>
    <xf numFmtId="0" fontId="16" fillId="2" borderId="1" xfId="0" applyFont="1" applyFill="1" applyBorder="1" applyAlignment="1">
      <alignment horizontal="justify" vertical="center" wrapText="1"/>
    </xf>
    <xf numFmtId="166" fontId="3" fillId="2" borderId="7" xfId="0" applyNumberFormat="1" applyFont="1" applyFill="1" applyBorder="1" applyAlignment="1">
      <alignment horizontal="justify" vertical="center" wrapText="1"/>
    </xf>
    <xf numFmtId="0" fontId="16" fillId="7" borderId="1" xfId="0" applyFont="1" applyFill="1" applyBorder="1" applyAlignment="1">
      <alignment horizontal="justify" vertical="center" wrapText="1"/>
    </xf>
    <xf numFmtId="0" fontId="3" fillId="0" borderId="1" xfId="0" applyFont="1" applyBorder="1" applyAlignment="1">
      <alignment horizontal="justify" vertical="center" wrapText="1"/>
    </xf>
    <xf numFmtId="166" fontId="3" fillId="4" borderId="10" xfId="0" applyNumberFormat="1" applyFont="1" applyFill="1" applyBorder="1" applyAlignment="1">
      <alignment horizontal="justify" vertical="center" wrapText="1"/>
    </xf>
    <xf numFmtId="0" fontId="3" fillId="4" borderId="1" xfId="0" applyFont="1" applyFill="1" applyBorder="1" applyAlignment="1">
      <alignment horizontal="justify" vertical="center" wrapText="1"/>
    </xf>
    <xf numFmtId="0" fontId="20" fillId="6" borderId="1" xfId="0" applyFont="1" applyFill="1" applyBorder="1" applyAlignment="1">
      <alignment horizontal="justify" vertical="center" wrapText="1"/>
    </xf>
    <xf numFmtId="0" fontId="21" fillId="0" borderId="1" xfId="0" applyFont="1" applyBorder="1" applyAlignment="1">
      <alignment horizontal="justify" vertical="center"/>
    </xf>
    <xf numFmtId="0" fontId="21" fillId="0" borderId="0" xfId="0" applyFont="1" applyAlignment="1">
      <alignment horizontal="justify" vertical="center"/>
    </xf>
    <xf numFmtId="0" fontId="16" fillId="0" borderId="1" xfId="0" applyFont="1" applyBorder="1" applyAlignment="1">
      <alignment horizontal="justify" vertical="center" wrapText="1"/>
    </xf>
    <xf numFmtId="0" fontId="3" fillId="2" borderId="1" xfId="11" applyFont="1" applyFill="1" applyBorder="1" applyAlignment="1">
      <alignment horizontal="justify" vertical="center" wrapText="1"/>
    </xf>
    <xf numFmtId="0" fontId="22" fillId="4" borderId="1" xfId="0" applyFont="1" applyFill="1" applyBorder="1" applyAlignment="1">
      <alignment horizontal="justify" vertical="center" wrapText="1"/>
    </xf>
    <xf numFmtId="9" fontId="16" fillId="0" borderId="20" xfId="0" applyNumberFormat="1" applyFont="1" applyBorder="1" applyAlignment="1">
      <alignment horizontal="justify" vertical="center" wrapText="1"/>
    </xf>
    <xf numFmtId="0" fontId="16" fillId="4" borderId="1" xfId="0" applyFont="1" applyFill="1" applyBorder="1" applyAlignment="1">
      <alignment horizontal="justify" vertical="center"/>
    </xf>
    <xf numFmtId="166" fontId="3" fillId="4" borderId="1" xfId="0" applyNumberFormat="1" applyFont="1" applyFill="1" applyBorder="1" applyAlignment="1">
      <alignment horizontal="justify" vertical="center"/>
    </xf>
    <xf numFmtId="166" fontId="3" fillId="4" borderId="3" xfId="0" applyNumberFormat="1" applyFont="1" applyFill="1" applyBorder="1" applyAlignment="1">
      <alignment horizontal="justify" vertical="center" wrapText="1"/>
    </xf>
    <xf numFmtId="1" fontId="3" fillId="6" borderId="1" xfId="1" applyNumberFormat="1" applyFont="1" applyFill="1" applyBorder="1" applyAlignment="1" applyProtection="1">
      <alignment horizontal="center" vertical="center"/>
    </xf>
    <xf numFmtId="167" fontId="3" fillId="6" borderId="1" xfId="0" applyNumberFormat="1" applyFont="1" applyFill="1" applyBorder="1" applyAlignment="1">
      <alignment horizontal="center" vertical="center" wrapText="1"/>
    </xf>
    <xf numFmtId="1" fontId="3" fillId="6" borderId="1" xfId="0" applyNumberFormat="1" applyFont="1" applyFill="1" applyBorder="1" applyAlignment="1">
      <alignment horizontal="center" vertical="center"/>
    </xf>
    <xf numFmtId="166" fontId="16" fillId="6" borderId="1" xfId="1" applyFont="1" applyFill="1" applyBorder="1" applyAlignment="1" applyProtection="1">
      <alignment horizontal="center" vertical="center"/>
    </xf>
    <xf numFmtId="167" fontId="16" fillId="6" borderId="1" xfId="0" applyNumberFormat="1" applyFont="1" applyFill="1" applyBorder="1" applyAlignment="1">
      <alignment horizontal="center" vertical="center" wrapText="1"/>
    </xf>
    <xf numFmtId="1" fontId="16" fillId="6" borderId="1" xfId="1" applyNumberFormat="1" applyFont="1" applyFill="1" applyBorder="1" applyAlignment="1" applyProtection="1">
      <alignment horizontal="center" vertical="center"/>
    </xf>
    <xf numFmtId="1" fontId="16" fillId="6" borderId="1" xfId="0" applyNumberFormat="1" applyFont="1" applyFill="1" applyBorder="1" applyAlignment="1">
      <alignment horizontal="center" vertical="center"/>
    </xf>
    <xf numFmtId="2" fontId="16" fillId="6" borderId="1" xfId="1" applyNumberFormat="1" applyFont="1" applyFill="1" applyBorder="1" applyAlignment="1" applyProtection="1">
      <alignment horizontal="center" vertical="center"/>
    </xf>
    <xf numFmtId="167" fontId="16" fillId="6" borderId="1" xfId="1" applyNumberFormat="1" applyFont="1" applyFill="1" applyBorder="1" applyAlignment="1" applyProtection="1">
      <alignment horizontal="center" vertical="center"/>
    </xf>
    <xf numFmtId="169" fontId="16" fillId="8" borderId="1" xfId="1" applyNumberFormat="1" applyFont="1" applyFill="1" applyBorder="1" applyAlignment="1" applyProtection="1">
      <alignment horizontal="center" vertical="center"/>
    </xf>
    <xf numFmtId="1" fontId="3" fillId="6" borderId="1" xfId="0" applyNumberFormat="1" applyFont="1" applyFill="1" applyBorder="1" applyAlignment="1">
      <alignment horizontal="center" vertical="center" wrapText="1"/>
    </xf>
    <xf numFmtId="1" fontId="3" fillId="6" borderId="1" xfId="1" applyNumberFormat="1" applyFont="1" applyFill="1" applyBorder="1" applyAlignment="1" applyProtection="1">
      <alignment horizontal="center" vertical="center" wrapText="1"/>
    </xf>
    <xf numFmtId="1" fontId="3" fillId="8" borderId="1" xfId="0" applyNumberFormat="1" applyFont="1" applyFill="1" applyBorder="1" applyAlignment="1">
      <alignment horizontal="center" vertical="center"/>
    </xf>
    <xf numFmtId="1" fontId="3" fillId="8" borderId="1" xfId="1" applyNumberFormat="1" applyFont="1" applyFill="1" applyBorder="1" applyAlignment="1" applyProtection="1">
      <alignment horizontal="center" vertical="center"/>
    </xf>
    <xf numFmtId="167" fontId="3" fillId="8" borderId="1" xfId="0" applyNumberFormat="1" applyFont="1" applyFill="1" applyBorder="1" applyAlignment="1">
      <alignment horizontal="center" vertical="center" wrapText="1"/>
    </xf>
    <xf numFmtId="3" fontId="3" fillId="6" borderId="1" xfId="1" applyNumberFormat="1" applyFont="1" applyFill="1" applyBorder="1" applyAlignment="1" applyProtection="1">
      <alignment horizontal="center" vertical="center"/>
    </xf>
    <xf numFmtId="0" fontId="16" fillId="6" borderId="1" xfId="0" applyFont="1" applyFill="1" applyBorder="1" applyAlignment="1">
      <alignment horizontal="center" vertical="center" wrapText="1"/>
    </xf>
    <xf numFmtId="0" fontId="16" fillId="6" borderId="1" xfId="1" applyNumberFormat="1" applyFont="1" applyFill="1" applyBorder="1" applyAlignment="1" applyProtection="1">
      <alignment horizontal="center" vertical="center" wrapText="1"/>
    </xf>
    <xf numFmtId="0" fontId="16" fillId="8" borderId="1" xfId="0" applyFont="1" applyFill="1" applyBorder="1" applyAlignment="1">
      <alignment horizontal="justify" vertical="center" wrapText="1"/>
    </xf>
    <xf numFmtId="167" fontId="3" fillId="6" borderId="1" xfId="0" applyNumberFormat="1" applyFont="1" applyFill="1" applyBorder="1" applyAlignment="1">
      <alignment horizontal="justify" vertical="center" wrapText="1"/>
    </xf>
    <xf numFmtId="166" fontId="24" fillId="4" borderId="3" xfId="0" applyNumberFormat="1" applyFont="1" applyFill="1" applyBorder="1" applyAlignment="1">
      <alignment horizontal="justify" vertical="center" wrapText="1"/>
    </xf>
    <xf numFmtId="10" fontId="16" fillId="6" borderId="1" xfId="1" applyNumberFormat="1" applyFont="1" applyFill="1" applyBorder="1" applyAlignment="1" applyProtection="1">
      <alignment horizontal="center" vertical="center"/>
    </xf>
    <xf numFmtId="10" fontId="16" fillId="8" borderId="1" xfId="1" applyNumberFormat="1" applyFont="1" applyFill="1" applyBorder="1" applyAlignment="1" applyProtection="1">
      <alignment horizontal="center" vertical="center"/>
    </xf>
    <xf numFmtId="167" fontId="25" fillId="6" borderId="1" xfId="0" applyNumberFormat="1" applyFont="1" applyFill="1" applyBorder="1" applyAlignment="1">
      <alignment horizontal="justify" vertical="center" wrapText="1"/>
    </xf>
    <xf numFmtId="167" fontId="27" fillId="6" borderId="1" xfId="0" applyNumberFormat="1" applyFont="1" applyFill="1" applyBorder="1" applyAlignment="1">
      <alignment horizontal="justify" vertical="center" wrapText="1"/>
    </xf>
    <xf numFmtId="166" fontId="33" fillId="4" borderId="3" xfId="0" applyNumberFormat="1" applyFont="1" applyFill="1" applyBorder="1" applyAlignment="1">
      <alignment horizontal="justify" vertical="center" wrapText="1"/>
    </xf>
    <xf numFmtId="166" fontId="3" fillId="4" borderId="1" xfId="0" applyNumberFormat="1" applyFont="1" applyFill="1" applyBorder="1" applyAlignment="1">
      <alignment horizontal="justify" vertical="center" wrapText="1"/>
    </xf>
    <xf numFmtId="0" fontId="34" fillId="2" borderId="0" xfId="4" applyFont="1" applyFill="1"/>
    <xf numFmtId="0" fontId="36" fillId="9" borderId="21" xfId="4" applyFont="1" applyFill="1" applyBorder="1" applyAlignment="1">
      <alignment horizontal="center" vertical="center"/>
    </xf>
    <xf numFmtId="0" fontId="37" fillId="9" borderId="6" xfId="4" applyFont="1" applyFill="1" applyBorder="1" applyAlignment="1">
      <alignment horizontal="center" vertical="center" wrapText="1"/>
    </xf>
    <xf numFmtId="0" fontId="37" fillId="9" borderId="22" xfId="4" applyFont="1" applyFill="1" applyBorder="1" applyAlignment="1">
      <alignment horizontal="center" vertical="center" wrapText="1"/>
    </xf>
    <xf numFmtId="167" fontId="6" fillId="10" borderId="23" xfId="4" applyNumberFormat="1" applyFont="1" applyFill="1" applyBorder="1" applyAlignment="1">
      <alignment horizontal="center" vertical="center"/>
    </xf>
    <xf numFmtId="167" fontId="6" fillId="10" borderId="24" xfId="4" applyNumberFormat="1" applyFont="1" applyFill="1" applyBorder="1" applyAlignment="1">
      <alignment horizontal="center" vertical="center"/>
    </xf>
    <xf numFmtId="167" fontId="37" fillId="9" borderId="24" xfId="4" applyNumberFormat="1" applyFont="1" applyFill="1" applyBorder="1" applyAlignment="1">
      <alignment horizontal="center" vertical="center"/>
    </xf>
    <xf numFmtId="166" fontId="15" fillId="0" borderId="0" xfId="1"/>
    <xf numFmtId="170" fontId="34" fillId="2" borderId="0" xfId="4" applyNumberFormat="1" applyFont="1" applyFill="1"/>
    <xf numFmtId="166" fontId="34" fillId="2" borderId="0" xfId="4" applyNumberFormat="1" applyFont="1" applyFill="1" applyAlignment="1">
      <alignment horizontal="center" vertical="center"/>
    </xf>
    <xf numFmtId="167" fontId="34" fillId="2" borderId="0" xfId="4" applyNumberFormat="1" applyFont="1" applyFill="1"/>
    <xf numFmtId="166" fontId="34" fillId="2" borderId="0" xfId="4" applyNumberFormat="1" applyFont="1" applyFill="1"/>
    <xf numFmtId="0" fontId="34" fillId="11" borderId="0" xfId="4" applyFont="1" applyFill="1"/>
    <xf numFmtId="167" fontId="34" fillId="11" borderId="0" xfId="4" applyNumberFormat="1" applyFont="1" applyFill="1" applyAlignment="1">
      <alignment horizontal="center" vertical="center"/>
    </xf>
    <xf numFmtId="0" fontId="34" fillId="2" borderId="0" xfId="15" applyFont="1" applyFill="1"/>
    <xf numFmtId="0" fontId="37" fillId="9" borderId="23" xfId="4" applyFont="1" applyFill="1" applyBorder="1" applyAlignment="1">
      <alignment horizontal="center" vertical="center" wrapText="1"/>
    </xf>
    <xf numFmtId="0" fontId="37" fillId="9" borderId="13" xfId="4" applyFont="1" applyFill="1" applyBorder="1" applyAlignment="1">
      <alignment horizontal="center" vertical="center" wrapText="1"/>
    </xf>
    <xf numFmtId="0" fontId="34" fillId="2" borderId="24" xfId="15" applyFont="1" applyFill="1" applyBorder="1" applyAlignment="1">
      <alignment horizontal="justify" vertical="center"/>
    </xf>
    <xf numFmtId="167" fontId="34" fillId="2" borderId="24" xfId="4" applyNumberFormat="1" applyFont="1" applyFill="1" applyBorder="1" applyAlignment="1">
      <alignment horizontal="center" vertical="center"/>
    </xf>
    <xf numFmtId="0" fontId="34" fillId="2" borderId="4" xfId="15" applyFont="1" applyFill="1" applyBorder="1" applyAlignment="1">
      <alignment horizontal="justify" vertical="center"/>
    </xf>
    <xf numFmtId="0" fontId="34" fillId="2" borderId="1" xfId="15" applyFont="1" applyFill="1" applyBorder="1" applyAlignment="1">
      <alignment horizontal="justify" vertical="center"/>
    </xf>
    <xf numFmtId="0" fontId="37" fillId="9" borderId="1" xfId="5" applyFont="1" applyFill="1" applyBorder="1" applyAlignment="1">
      <alignment horizontal="center" vertical="center" wrapText="1"/>
    </xf>
    <xf numFmtId="167" fontId="37" fillId="9" borderId="1" xfId="4" applyNumberFormat="1" applyFont="1" applyFill="1" applyBorder="1" applyAlignment="1">
      <alignment horizontal="center" vertical="center"/>
    </xf>
    <xf numFmtId="0" fontId="34" fillId="2" borderId="0" xfId="4" applyFont="1" applyFill="1" applyAlignment="1">
      <alignment vertical="center"/>
    </xf>
    <xf numFmtId="0" fontId="37" fillId="9" borderId="1" xfId="4" applyFont="1" applyFill="1" applyBorder="1" applyAlignment="1">
      <alignment horizontal="center" vertical="center" wrapText="1"/>
    </xf>
    <xf numFmtId="0" fontId="37" fillId="9" borderId="4" xfId="4" applyFont="1" applyFill="1" applyBorder="1" applyAlignment="1">
      <alignment horizontal="center" vertical="center" wrapText="1"/>
    </xf>
    <xf numFmtId="0" fontId="20" fillId="2" borderId="23" xfId="5" applyFont="1" applyFill="1" applyBorder="1" applyAlignment="1">
      <alignment horizontal="justify" vertical="center" wrapText="1"/>
    </xf>
    <xf numFmtId="167" fontId="20" fillId="2" borderId="23" xfId="4" applyNumberFormat="1" applyFont="1" applyFill="1" applyBorder="1" applyAlignment="1">
      <alignment horizontal="center" vertical="center"/>
    </xf>
    <xf numFmtId="0" fontId="40" fillId="9" borderId="1" xfId="5" applyFont="1" applyFill="1" applyBorder="1" applyAlignment="1">
      <alignment horizontal="left" vertical="center" wrapText="1"/>
    </xf>
    <xf numFmtId="0" fontId="2" fillId="2" borderId="0" xfId="4" applyFill="1"/>
    <xf numFmtId="0" fontId="20" fillId="2" borderId="8" xfId="5" applyFont="1" applyFill="1" applyBorder="1" applyAlignment="1">
      <alignment horizontal="justify" vertical="center" wrapText="1"/>
    </xf>
    <xf numFmtId="167" fontId="20" fillId="2" borderId="25" xfId="4" applyNumberFormat="1" applyFont="1" applyFill="1" applyBorder="1" applyAlignment="1">
      <alignment horizontal="center" vertical="center"/>
    </xf>
    <xf numFmtId="0" fontId="42" fillId="2" borderId="4" xfId="15" applyFont="1" applyFill="1" applyBorder="1" applyAlignment="1">
      <alignment horizontal="justify" vertical="center"/>
    </xf>
    <xf numFmtId="0" fontId="42" fillId="2" borderId="4" xfId="15" applyFont="1" applyFill="1" applyBorder="1" applyAlignment="1">
      <alignment horizontal="justify" vertical="center" wrapText="1"/>
    </xf>
    <xf numFmtId="0" fontId="42" fillId="2" borderId="4" xfId="15" applyFont="1" applyFill="1" applyBorder="1"/>
    <xf numFmtId="0" fontId="42" fillId="2" borderId="1" xfId="15" applyFont="1" applyFill="1" applyBorder="1" applyAlignment="1">
      <alignment horizontal="justify" vertical="center"/>
    </xf>
    <xf numFmtId="0" fontId="42" fillId="2" borderId="1" xfId="15" applyFont="1" applyFill="1" applyBorder="1" applyAlignment="1">
      <alignment horizontal="justify" vertical="center" wrapText="1"/>
    </xf>
    <xf numFmtId="0" fontId="42" fillId="2" borderId="1" xfId="15" applyFont="1" applyFill="1" applyBorder="1"/>
    <xf numFmtId="0" fontId="40" fillId="9" borderId="1" xfId="5" applyFont="1" applyFill="1" applyBorder="1" applyAlignment="1">
      <alignment horizontal="center" vertical="center" wrapText="1"/>
    </xf>
    <xf numFmtId="167" fontId="37" fillId="9" borderId="6" xfId="4" applyNumberFormat="1" applyFont="1" applyFill="1" applyBorder="1" applyAlignment="1">
      <alignment horizontal="center" vertical="center"/>
    </xf>
    <xf numFmtId="0" fontId="20" fillId="2" borderId="4" xfId="15" applyFont="1" applyFill="1" applyBorder="1" applyAlignment="1">
      <alignment horizontal="justify" vertical="center"/>
    </xf>
    <xf numFmtId="0" fontId="20" fillId="2" borderId="1" xfId="15" applyFont="1" applyFill="1" applyBorder="1" applyAlignment="1">
      <alignment horizontal="justify" vertical="center"/>
    </xf>
    <xf numFmtId="0" fontId="4" fillId="2" borderId="0" xfId="4" applyFont="1" applyFill="1"/>
    <xf numFmtId="0" fontId="3" fillId="2" borderId="1" xfId="5" applyFont="1" applyFill="1" applyBorder="1" applyAlignment="1">
      <alignment horizontal="justify" vertical="center"/>
    </xf>
    <xf numFmtId="167" fontId="3" fillId="2" borderId="1" xfId="4" applyNumberFormat="1" applyFont="1" applyFill="1" applyBorder="1" applyAlignment="1">
      <alignment horizontal="center" vertical="center"/>
    </xf>
    <xf numFmtId="167" fontId="40" fillId="9" borderId="1" xfId="1" applyNumberFormat="1" applyFont="1" applyFill="1" applyBorder="1" applyAlignment="1" applyProtection="1">
      <alignment horizontal="center" vertical="center"/>
    </xf>
    <xf numFmtId="0" fontId="3" fillId="2" borderId="0" xfId="4" applyFont="1" applyFill="1"/>
    <xf numFmtId="0" fontId="3" fillId="2" borderId="1" xfId="4" applyFont="1" applyFill="1" applyBorder="1" applyAlignment="1">
      <alignment horizontal="justify" vertical="center"/>
    </xf>
    <xf numFmtId="167" fontId="34" fillId="2" borderId="1" xfId="4" applyNumberFormat="1" applyFont="1" applyFill="1" applyBorder="1" applyAlignment="1">
      <alignment horizontal="center" vertical="center"/>
    </xf>
    <xf numFmtId="0" fontId="20" fillId="2" borderId="1" xfId="5" applyFont="1" applyFill="1" applyBorder="1" applyAlignment="1">
      <alignment horizontal="justify" vertical="center"/>
    </xf>
    <xf numFmtId="166" fontId="34" fillId="2" borderId="1" xfId="4" applyNumberFormat="1" applyFont="1" applyFill="1" applyBorder="1" applyAlignment="1">
      <alignment horizontal="center" vertical="center"/>
    </xf>
    <xf numFmtId="166" fontId="34" fillId="2" borderId="1" xfId="1" applyFont="1" applyFill="1" applyBorder="1" applyAlignment="1" applyProtection="1">
      <alignment horizontal="center" vertical="center"/>
    </xf>
    <xf numFmtId="0" fontId="42" fillId="2" borderId="4" xfId="0" applyFont="1" applyFill="1" applyBorder="1" applyAlignment="1">
      <alignment horizontal="justify" vertical="center"/>
    </xf>
    <xf numFmtId="0" fontId="42" fillId="2" borderId="1" xfId="0" applyFont="1" applyFill="1" applyBorder="1" applyAlignment="1">
      <alignment horizontal="justify" vertical="center"/>
    </xf>
    <xf numFmtId="0" fontId="34" fillId="2" borderId="0" xfId="4" applyFont="1" applyFill="1" applyAlignment="1">
      <alignment horizontal="center"/>
    </xf>
    <xf numFmtId="0" fontId="12" fillId="3" borderId="1" xfId="0" applyFont="1" applyFill="1" applyBorder="1" applyAlignment="1">
      <alignment horizontal="center" vertical="center" wrapText="1"/>
    </xf>
    <xf numFmtId="0" fontId="19" fillId="3" borderId="8" xfId="0" applyFont="1" applyFill="1" applyBorder="1" applyAlignment="1">
      <alignment horizontal="center" vertical="center" wrapText="1"/>
    </xf>
    <xf numFmtId="0" fontId="19" fillId="3" borderId="11" xfId="0" applyFont="1" applyFill="1" applyBorder="1" applyAlignment="1">
      <alignment horizontal="center" vertical="center" wrapText="1"/>
    </xf>
    <xf numFmtId="0" fontId="19" fillId="3" borderId="2" xfId="0" applyFont="1" applyFill="1" applyBorder="1" applyAlignment="1">
      <alignment horizontal="center" vertical="center" wrapText="1"/>
    </xf>
    <xf numFmtId="4" fontId="23" fillId="2" borderId="8" xfId="0" applyNumberFormat="1" applyFont="1" applyFill="1" applyBorder="1" applyAlignment="1">
      <alignment horizontal="right" vertical="center"/>
    </xf>
    <xf numFmtId="4" fontId="23" fillId="2" borderId="2" xfId="0" applyNumberFormat="1" applyFont="1" applyFill="1" applyBorder="1" applyAlignment="1">
      <alignment horizontal="right" vertical="center"/>
    </xf>
    <xf numFmtId="167" fontId="12" fillId="2" borderId="1" xfId="1" applyNumberFormat="1" applyFont="1" applyFill="1" applyBorder="1" applyAlignment="1" applyProtection="1">
      <alignment horizontal="center" vertical="center"/>
    </xf>
    <xf numFmtId="0" fontId="19" fillId="3" borderId="8" xfId="0" applyFont="1" applyFill="1" applyBorder="1" applyAlignment="1">
      <alignment horizontal="center" vertical="center"/>
    </xf>
    <xf numFmtId="0" fontId="19" fillId="3" borderId="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11" xfId="0" applyFont="1" applyFill="1" applyBorder="1" applyAlignment="1">
      <alignment horizontal="center" vertical="center"/>
    </xf>
    <xf numFmtId="0" fontId="11" fillId="3" borderId="2" xfId="0" applyFont="1" applyFill="1" applyBorder="1" applyAlignment="1">
      <alignment horizontal="center" vertical="center"/>
    </xf>
    <xf numFmtId="0" fontId="10" fillId="2" borderId="8"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2" xfId="0" applyFont="1" applyFill="1" applyBorder="1" applyAlignment="1">
      <alignment horizontal="center" vertical="center"/>
    </xf>
    <xf numFmtId="0" fontId="19" fillId="3" borderId="11" xfId="0" applyFont="1" applyFill="1" applyBorder="1" applyAlignment="1">
      <alignment horizontal="center" vertical="center"/>
    </xf>
    <xf numFmtId="4" fontId="8" fillId="2" borderId="1" xfId="0"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0" fontId="11" fillId="3" borderId="1" xfId="0" applyFont="1" applyFill="1" applyBorder="1" applyAlignment="1">
      <alignment horizontal="center" vertical="center"/>
    </xf>
    <xf numFmtId="0" fontId="11" fillId="2" borderId="1" xfId="0" applyFont="1" applyFill="1" applyBorder="1" applyAlignment="1">
      <alignment horizontal="center" vertical="center"/>
    </xf>
    <xf numFmtId="4" fontId="3" fillId="0" borderId="5"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3" xfId="0" applyNumberFormat="1" applyFont="1" applyBorder="1" applyAlignment="1">
      <alignment horizontal="center" vertical="center"/>
    </xf>
    <xf numFmtId="4" fontId="3" fillId="0" borderId="9" xfId="0" applyNumberFormat="1" applyFont="1" applyBorder="1" applyAlignment="1">
      <alignment horizontal="center" vertical="center"/>
    </xf>
    <xf numFmtId="4" fontId="3" fillId="0" borderId="0" xfId="0" applyNumberFormat="1" applyFont="1" applyAlignment="1">
      <alignment horizontal="center" vertical="center"/>
    </xf>
    <xf numFmtId="4" fontId="3" fillId="0" borderId="12" xfId="0" applyNumberFormat="1" applyFont="1" applyBorder="1" applyAlignment="1">
      <alignment horizontal="center" vertical="center"/>
    </xf>
    <xf numFmtId="4" fontId="3" fillId="0" borderId="14" xfId="0" applyNumberFormat="1" applyFont="1" applyBorder="1" applyAlignment="1">
      <alignment horizontal="center" vertical="center"/>
    </xf>
    <xf numFmtId="4" fontId="3" fillId="0" borderId="15" xfId="0" applyNumberFormat="1" applyFont="1" applyBorder="1" applyAlignment="1">
      <alignment horizontal="center" vertical="center"/>
    </xf>
    <xf numFmtId="4" fontId="3" fillId="0" borderId="16" xfId="0" applyNumberFormat="1" applyFont="1" applyBorder="1" applyAlignment="1">
      <alignment horizontal="center" vertical="center"/>
    </xf>
    <xf numFmtId="0" fontId="19" fillId="3" borderId="1" xfId="0" applyFont="1" applyFill="1" applyBorder="1" applyAlignment="1">
      <alignment horizontal="center" vertical="center" wrapText="1"/>
    </xf>
    <xf numFmtId="167" fontId="12" fillId="2" borderId="4" xfId="0" applyNumberFormat="1" applyFont="1" applyFill="1" applyBorder="1" applyAlignment="1">
      <alignment horizontal="center" vertical="center"/>
    </xf>
    <xf numFmtId="167" fontId="18" fillId="2" borderId="1" xfId="0" applyNumberFormat="1" applyFont="1" applyFill="1" applyBorder="1" applyAlignment="1">
      <alignment horizontal="center" vertical="center"/>
    </xf>
    <xf numFmtId="167" fontId="12" fillId="2" borderId="1" xfId="0" applyNumberFormat="1" applyFont="1" applyFill="1" applyBorder="1" applyAlignment="1">
      <alignment horizontal="center" vertical="center"/>
    </xf>
    <xf numFmtId="167" fontId="18" fillId="2" borderId="6" xfId="0" applyNumberFormat="1" applyFont="1" applyFill="1" applyBorder="1" applyAlignment="1">
      <alignment horizontal="center" vertical="center"/>
    </xf>
    <xf numFmtId="167" fontId="18" fillId="2" borderId="4" xfId="0" applyNumberFormat="1" applyFont="1" applyFill="1" applyBorder="1" applyAlignment="1">
      <alignment horizontal="center" vertical="center"/>
    </xf>
    <xf numFmtId="167" fontId="18" fillId="2" borderId="13" xfId="0" applyNumberFormat="1" applyFont="1" applyFill="1" applyBorder="1" applyAlignment="1">
      <alignment horizontal="center" vertical="center"/>
    </xf>
    <xf numFmtId="167" fontId="12" fillId="2" borderId="13" xfId="0" applyNumberFormat="1" applyFont="1" applyFill="1" applyBorder="1" applyAlignment="1">
      <alignment horizontal="center" vertical="center"/>
    </xf>
    <xf numFmtId="167" fontId="12" fillId="2" borderId="6" xfId="0" applyNumberFormat="1" applyFont="1" applyFill="1" applyBorder="1" applyAlignment="1">
      <alignment horizontal="center" vertical="center"/>
    </xf>
    <xf numFmtId="0" fontId="35" fillId="9" borderId="1" xfId="4" applyFont="1" applyFill="1" applyBorder="1" applyAlignment="1">
      <alignment horizontal="center" wrapText="1"/>
    </xf>
    <xf numFmtId="167" fontId="38" fillId="10" borderId="4" xfId="4" applyNumberFormat="1" applyFont="1" applyFill="1" applyBorder="1" applyAlignment="1">
      <alignment horizontal="center" vertical="center"/>
    </xf>
    <xf numFmtId="167" fontId="38" fillId="10" borderId="13" xfId="4" applyNumberFormat="1" applyFont="1" applyFill="1" applyBorder="1" applyAlignment="1">
      <alignment horizontal="center" vertical="center"/>
    </xf>
    <xf numFmtId="167" fontId="38" fillId="10" borderId="6" xfId="4" applyNumberFormat="1" applyFont="1" applyFill="1" applyBorder="1" applyAlignment="1">
      <alignment horizontal="center" vertical="center"/>
    </xf>
    <xf numFmtId="0" fontId="39" fillId="9" borderId="1" xfId="4" applyFont="1" applyFill="1" applyBorder="1" applyAlignment="1">
      <alignment horizontal="center"/>
    </xf>
    <xf numFmtId="0" fontId="39" fillId="9" borderId="1" xfId="4" applyFont="1" applyFill="1" applyBorder="1" applyAlignment="1">
      <alignment horizontal="center" vertical="center"/>
    </xf>
    <xf numFmtId="0" fontId="41" fillId="9" borderId="1" xfId="4" applyFont="1" applyFill="1" applyBorder="1" applyAlignment="1">
      <alignment horizontal="center"/>
    </xf>
    <xf numFmtId="0" fontId="43" fillId="9" borderId="1" xfId="4" applyFont="1" applyFill="1" applyBorder="1" applyAlignment="1">
      <alignment horizontal="center" vertical="center"/>
    </xf>
    <xf numFmtId="0" fontId="37" fillId="9" borderId="1" xfId="4" applyFont="1" applyFill="1" applyBorder="1" applyAlignment="1">
      <alignment horizontal="center"/>
    </xf>
    <xf numFmtId="0" fontId="36" fillId="9" borderId="1" xfId="4" applyFont="1" applyFill="1" applyBorder="1" applyAlignment="1">
      <alignment horizontal="center"/>
    </xf>
    <xf numFmtId="0" fontId="37" fillId="9" borderId="1" xfId="4" applyFont="1" applyFill="1" applyBorder="1" applyAlignment="1">
      <alignment horizontal="center" vertical="center"/>
    </xf>
    <xf numFmtId="171" fontId="15" fillId="0" borderId="0" xfId="1" applyNumberFormat="1"/>
    <xf numFmtId="0" fontId="44" fillId="0" borderId="0" xfId="0" applyFont="1" applyAlignment="1">
      <alignment horizontal="center" vertical="center"/>
    </xf>
    <xf numFmtId="167" fontId="45" fillId="2" borderId="0" xfId="0" applyNumberFormat="1" applyFont="1" applyFill="1" applyAlignment="1">
      <alignment horizontal="center"/>
    </xf>
  </cellXfs>
  <cellStyles count="16">
    <cellStyle name="Millares 2 2" xfId="2" xr:uid="{00000000-0005-0000-0000-000006000000}"/>
    <cellStyle name="Moneda 2" xfId="3" xr:uid="{00000000-0005-0000-0000-000007000000}"/>
    <cellStyle name="Normal" xfId="0" builtinId="0"/>
    <cellStyle name="Normal 2" xfId="4" xr:uid="{00000000-0005-0000-0000-000008000000}"/>
    <cellStyle name="Normal 2 2" xfId="5" xr:uid="{00000000-0005-0000-0000-000009000000}"/>
    <cellStyle name="Normal 2 2 2" xfId="6" xr:uid="{00000000-0005-0000-0000-00000A000000}"/>
    <cellStyle name="Normal 2 2 3" xfId="7" xr:uid="{00000000-0005-0000-0000-00000B000000}"/>
    <cellStyle name="Normal 2 2 4" xfId="8" xr:uid="{00000000-0005-0000-0000-00000C000000}"/>
    <cellStyle name="Normal 2 3" xfId="9" xr:uid="{00000000-0005-0000-0000-00000D000000}"/>
    <cellStyle name="Normal 2 4" xfId="10" xr:uid="{00000000-0005-0000-0000-00000E000000}"/>
    <cellStyle name="Normal 3" xfId="11" xr:uid="{00000000-0005-0000-0000-00000F000000}"/>
    <cellStyle name="Normal 4" xfId="12" xr:uid="{00000000-0005-0000-0000-000010000000}"/>
    <cellStyle name="Normal 5" xfId="15" xr:uid="{906EF950-6531-41C4-9E20-5560521F7C03}"/>
    <cellStyle name="Porcentaje" xfId="1" builtinId="5"/>
    <cellStyle name="Porcentaje 2" xfId="13" xr:uid="{00000000-0005-0000-0000-000011000000}"/>
    <cellStyle name="Porcentaje 4" xfId="14" xr:uid="{00000000-0005-0000-0000-000012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BFBFBF"/>
      <rgbColor rgb="FF8B8B8B"/>
      <rgbColor rgb="FF9999FF"/>
      <rgbColor rgb="FF993366"/>
      <rgbColor rgb="FFFFF2CC"/>
      <rgbColor rgb="FFD9D9D9"/>
      <rgbColor rgb="FF660066"/>
      <rgbColor rgb="FFFF8080"/>
      <rgbColor rgb="FF0066CC"/>
      <rgbColor rgb="FFBDD7EE"/>
      <rgbColor rgb="FF000080"/>
      <rgbColor rgb="FFFF00FF"/>
      <rgbColor rgb="FFFFFF00"/>
      <rgbColor rgb="FF00FFFF"/>
      <rgbColor rgb="FF800080"/>
      <rgbColor rgb="FF800000"/>
      <rgbColor rgb="FF008080"/>
      <rgbColor rgb="FF0000FF"/>
      <rgbColor rgb="FF00CCFF"/>
      <rgbColor rgb="FFCCFFFF"/>
      <rgbColor rgb="FFE2F0D9"/>
      <rgbColor rgb="FFFBE5D6"/>
      <rgbColor rgb="FF99CCFF"/>
      <rgbColor rgb="FFFF99CC"/>
      <rgbColor rgb="FFCC99FF"/>
      <rgbColor rgb="FFF4B183"/>
      <rgbColor rgb="FF4472C4"/>
      <rgbColor rgb="FF33CCCC"/>
      <rgbColor rgb="FF92D050"/>
      <rgbColor rgb="FFFFCC00"/>
      <rgbColor rgb="FFFF9900"/>
      <rgbColor rgb="FFED7D31"/>
      <rgbColor rgb="FF666699"/>
      <rgbColor rgb="FFA6A6A6"/>
      <rgbColor rgb="FF002060"/>
      <rgbColor rgb="FF339966"/>
      <rgbColor rgb="FF003300"/>
      <rgbColor rgb="FF385623"/>
      <rgbColor rgb="FF993300"/>
      <rgbColor rgb="FF993366"/>
      <rgbColor rgb="FF333399"/>
      <rgbColor rgb="FF203864"/>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419"/>
              <a:t>CUMPLIMIENTO PLAN DE ACCIÓN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barChart>
        <c:barDir val="col"/>
        <c:grouping val="clustered"/>
        <c:varyColors val="0"/>
        <c:ser>
          <c:idx val="0"/>
          <c:order val="0"/>
          <c:tx>
            <c:strRef>
              <c:f>'Cumplimiento 2025'!$B$14</c:f>
              <c:strCache>
                <c:ptCount val="1"/>
                <c:pt idx="0">
                  <c:v>1 MER TRIM</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2025'!$C$14:$N$14</c:f>
              <c:numCache>
                <c:formatCode>0\ %</c:formatCode>
                <c:ptCount val="12"/>
                <c:pt idx="0">
                  <c:v>0.125</c:v>
                </c:pt>
                <c:pt idx="1">
                  <c:v>0.24108730398449496</c:v>
                </c:pt>
                <c:pt idx="2">
                  <c:v>0.1768776382628604</c:v>
                </c:pt>
                <c:pt idx="3">
                  <c:v>0.20044444444444443</c:v>
                </c:pt>
                <c:pt idx="4">
                  <c:v>0.24137931034482757</c:v>
                </c:pt>
                <c:pt idx="5">
                  <c:v>0.21236559139784947</c:v>
                </c:pt>
                <c:pt idx="6">
                  <c:v>0.2</c:v>
                </c:pt>
                <c:pt idx="7">
                  <c:v>0.13020833333333334</c:v>
                </c:pt>
                <c:pt idx="8">
                  <c:v>0.17818516193129197</c:v>
                </c:pt>
                <c:pt idx="9">
                  <c:v>0.20240256070560056</c:v>
                </c:pt>
                <c:pt idx="10">
                  <c:v>5.5648148148148148E-2</c:v>
                </c:pt>
                <c:pt idx="11">
                  <c:v>0.10487117552334944</c:v>
                </c:pt>
              </c:numCache>
            </c:numRef>
          </c:val>
          <c:extLst>
            <c:ext xmlns:c16="http://schemas.microsoft.com/office/drawing/2014/chart" uri="{C3380CC4-5D6E-409C-BE32-E72D297353CC}">
              <c16:uniqueId val="{00000000-1225-4161-A980-F280C327B8BD}"/>
            </c:ext>
          </c:extLst>
        </c:ser>
        <c:ser>
          <c:idx val="1"/>
          <c:order val="1"/>
          <c:tx>
            <c:strRef>
              <c:f>'Cumplimiento 2025'!$B$15</c:f>
              <c:strCache>
                <c:ptCount val="1"/>
                <c:pt idx="0">
                  <c:v>2 DO TRIM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2025'!$C$15:$N$15</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1225-4161-A980-F280C327B8BD}"/>
            </c:ext>
          </c:extLst>
        </c:ser>
        <c:ser>
          <c:idx val="2"/>
          <c:order val="2"/>
          <c:tx>
            <c:strRef>
              <c:f>'Cumplimiento 2025'!$B$16</c:f>
              <c:strCache>
                <c:ptCount val="1"/>
                <c:pt idx="0">
                  <c:v>3 CER TRIM</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2025'!$C$16:$N$16</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1225-4161-A980-F280C327B8BD}"/>
            </c:ext>
          </c:extLst>
        </c:ser>
        <c:ser>
          <c:idx val="3"/>
          <c:order val="3"/>
          <c:tx>
            <c:strRef>
              <c:f>'Cumplimiento 2025'!$B$17</c:f>
              <c:strCache>
                <c:ptCount val="1"/>
                <c:pt idx="0">
                  <c:v>4 TO TRIM</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2025'!$C$17:$N$17</c:f>
              <c:numCache>
                <c:formatCode>0\ %</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1225-4161-A980-F280C327B8BD}"/>
            </c:ext>
          </c:extLst>
        </c:ser>
        <c:dLbls>
          <c:showLegendKey val="0"/>
          <c:showVal val="1"/>
          <c:showCatName val="0"/>
          <c:showSerName val="0"/>
          <c:showPercent val="0"/>
          <c:showBubbleSize val="0"/>
        </c:dLbls>
        <c:gapWidth val="150"/>
        <c:axId val="1377898351"/>
        <c:axId val="1377897391"/>
      </c:barChart>
      <c:catAx>
        <c:axId val="137789835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MX"/>
          </a:p>
        </c:txPr>
        <c:crossAx val="1377897391"/>
        <c:crosses val="autoZero"/>
        <c:auto val="1"/>
        <c:lblAlgn val="ctr"/>
        <c:lblOffset val="100"/>
        <c:noMultiLvlLbl val="0"/>
      </c:catAx>
      <c:valAx>
        <c:axId val="1377897391"/>
        <c:scaling>
          <c:orientation val="minMax"/>
        </c:scaling>
        <c:delete val="1"/>
        <c:axPos val="l"/>
        <c:numFmt formatCode="0\ %" sourceLinked="1"/>
        <c:majorTickMark val="none"/>
        <c:minorTickMark val="none"/>
        <c:tickLblPos val="nextTo"/>
        <c:crossAx val="13778983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r>
              <a:rPr lang="es-419"/>
              <a:t>%</a:t>
            </a:r>
            <a:r>
              <a:rPr lang="es-419" baseline="0"/>
              <a:t> DE CUMPLIMIENTO POR PROCESO</a:t>
            </a:r>
            <a:endParaRPr lang="es-419"/>
          </a:p>
        </c:rich>
      </c:tx>
      <c:overlay val="0"/>
      <c:spPr>
        <a:noFill/>
        <a:ln>
          <a:noFill/>
        </a:ln>
        <a:effectLst/>
      </c:spPr>
      <c:txPr>
        <a:bodyPr rot="0" spcFirstLastPara="1" vertOverflow="ellipsis" vert="horz" wrap="square" anchor="ctr" anchorCtr="1"/>
        <a:lstStyle/>
        <a:p>
          <a:pPr>
            <a:defRPr sz="1400" b="0" i="0" u="none" strike="noStrike" kern="1200" spc="0" baseline="0">
              <a:ln>
                <a:noFill/>
              </a:ln>
              <a:solidFill>
                <a:schemeClr val="tx1">
                  <a:lumMod val="65000"/>
                  <a:lumOff val="35000"/>
                </a:schemeClr>
              </a:solidFill>
              <a:latin typeface="+mn-lt"/>
              <a:ea typeface="+mn-ea"/>
              <a:cs typeface="+mn-cs"/>
            </a:defRPr>
          </a:pPr>
          <a:endParaRPr lang="es-419"/>
        </a:p>
      </c:txPr>
    </c:title>
    <c:autoTitleDeleted val="0"/>
    <c:plotArea>
      <c:layout>
        <c:manualLayout>
          <c:layoutTarget val="inner"/>
          <c:xMode val="edge"/>
          <c:yMode val="edge"/>
          <c:x val="2.1194804732430888E-2"/>
          <c:y val="1.7259167685410515E-2"/>
          <c:w val="0.97409523866036229"/>
          <c:h val="0.86467349191401199"/>
        </c:manualLayout>
      </c:layout>
      <c:barChart>
        <c:barDir val="col"/>
        <c:grouping val="stacked"/>
        <c:varyColors val="0"/>
        <c:ser>
          <c:idx val="0"/>
          <c:order val="0"/>
          <c:spPr>
            <a:solidFill>
              <a:schemeClr val="accent2"/>
            </a:solidFill>
            <a:ln>
              <a:noFill/>
            </a:ln>
            <a:effectLst/>
          </c:spPr>
          <c:invertIfNegative val="0"/>
          <c:dPt>
            <c:idx val="0"/>
            <c:invertIfNegative val="0"/>
            <c:bubble3D val="0"/>
            <c:spPr>
              <a:solidFill>
                <a:schemeClr val="accent1">
                  <a:lumMod val="75000"/>
                </a:schemeClr>
              </a:solidFill>
              <a:ln>
                <a:noFill/>
              </a:ln>
              <a:effectLst/>
            </c:spPr>
            <c:extLst>
              <c:ext xmlns:c16="http://schemas.microsoft.com/office/drawing/2014/chart" uri="{C3380CC4-5D6E-409C-BE32-E72D297353CC}">
                <c16:uniqueId val="{00000001-AE07-4945-9CED-67F55C6F8510}"/>
              </c:ext>
            </c:extLst>
          </c:dPt>
          <c:dPt>
            <c:idx val="1"/>
            <c:invertIfNegative val="0"/>
            <c:bubble3D val="0"/>
            <c:spPr>
              <a:solidFill>
                <a:srgbClr val="00B050"/>
              </a:solidFill>
              <a:ln>
                <a:noFill/>
              </a:ln>
              <a:effectLst/>
            </c:spPr>
            <c:extLst>
              <c:ext xmlns:c16="http://schemas.microsoft.com/office/drawing/2014/chart" uri="{C3380CC4-5D6E-409C-BE32-E72D297353CC}">
                <c16:uniqueId val="{00000003-AE07-4945-9CED-67F55C6F8510}"/>
              </c:ext>
            </c:extLst>
          </c:dPt>
          <c:dPt>
            <c:idx val="2"/>
            <c:invertIfNegative val="0"/>
            <c:bubble3D val="0"/>
            <c:spPr>
              <a:solidFill>
                <a:srgbClr val="00B0F0"/>
              </a:solidFill>
              <a:ln>
                <a:noFill/>
              </a:ln>
              <a:effectLst/>
            </c:spPr>
            <c:extLst>
              <c:ext xmlns:c16="http://schemas.microsoft.com/office/drawing/2014/chart" uri="{C3380CC4-5D6E-409C-BE32-E72D297353CC}">
                <c16:uniqueId val="{00000005-AE07-4945-9CED-67F55C6F8510}"/>
              </c:ext>
            </c:extLst>
          </c:dPt>
          <c:dPt>
            <c:idx val="3"/>
            <c:invertIfNegative val="0"/>
            <c:bubble3D val="0"/>
            <c:spPr>
              <a:solidFill>
                <a:srgbClr val="7030A0"/>
              </a:solidFill>
              <a:ln>
                <a:noFill/>
              </a:ln>
              <a:effectLst/>
            </c:spPr>
            <c:extLst>
              <c:ext xmlns:c16="http://schemas.microsoft.com/office/drawing/2014/chart" uri="{C3380CC4-5D6E-409C-BE32-E72D297353CC}">
                <c16:uniqueId val="{00000007-AE07-4945-9CED-67F55C6F8510}"/>
              </c:ext>
            </c:extLst>
          </c:dPt>
          <c:dPt>
            <c:idx val="4"/>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9-AE07-4945-9CED-67F55C6F8510}"/>
              </c:ext>
            </c:extLst>
          </c:dPt>
          <c:dPt>
            <c:idx val="6"/>
            <c:invertIfNegative val="0"/>
            <c:bubble3D val="0"/>
            <c:spPr>
              <a:solidFill>
                <a:srgbClr val="FF66CC"/>
              </a:solidFill>
              <a:ln>
                <a:noFill/>
              </a:ln>
              <a:effectLst/>
            </c:spPr>
            <c:extLst>
              <c:ext xmlns:c16="http://schemas.microsoft.com/office/drawing/2014/chart" uri="{C3380CC4-5D6E-409C-BE32-E72D297353CC}">
                <c16:uniqueId val="{0000000B-AE07-4945-9CED-67F55C6F8510}"/>
              </c:ext>
            </c:extLst>
          </c:dPt>
          <c:dPt>
            <c:idx val="7"/>
            <c:invertIfNegative val="0"/>
            <c:bubble3D val="0"/>
            <c:spPr>
              <a:solidFill>
                <a:srgbClr val="FF0000"/>
              </a:solidFill>
              <a:ln>
                <a:noFill/>
              </a:ln>
              <a:effectLst/>
            </c:spPr>
            <c:extLst>
              <c:ext xmlns:c16="http://schemas.microsoft.com/office/drawing/2014/chart" uri="{C3380CC4-5D6E-409C-BE32-E72D297353CC}">
                <c16:uniqueId val="{0000000D-AE07-4945-9CED-67F55C6F8510}"/>
              </c:ext>
            </c:extLst>
          </c:dPt>
          <c:dPt>
            <c:idx val="8"/>
            <c:invertIfNegative val="0"/>
            <c:bubble3D val="0"/>
            <c:spPr>
              <a:solidFill>
                <a:srgbClr val="FFFF00"/>
              </a:solidFill>
              <a:ln>
                <a:noFill/>
              </a:ln>
              <a:effectLst/>
            </c:spPr>
            <c:extLst>
              <c:ext xmlns:c16="http://schemas.microsoft.com/office/drawing/2014/chart" uri="{C3380CC4-5D6E-409C-BE32-E72D297353CC}">
                <c16:uniqueId val="{0000000F-AE07-4945-9CED-67F55C6F8510}"/>
              </c:ext>
            </c:extLst>
          </c:dPt>
          <c:dPt>
            <c:idx val="9"/>
            <c:invertIfNegative val="0"/>
            <c:bubble3D val="0"/>
            <c:spPr>
              <a:solidFill>
                <a:srgbClr val="15EBEB"/>
              </a:solidFill>
              <a:ln>
                <a:noFill/>
              </a:ln>
              <a:effectLst/>
            </c:spPr>
            <c:extLst>
              <c:ext xmlns:c16="http://schemas.microsoft.com/office/drawing/2014/chart" uri="{C3380CC4-5D6E-409C-BE32-E72D297353CC}">
                <c16:uniqueId val="{00000011-AE07-4945-9CED-67F55C6F8510}"/>
              </c:ext>
            </c:extLst>
          </c:dPt>
          <c:dPt>
            <c:idx val="10"/>
            <c:invertIfNegative val="0"/>
            <c:bubble3D val="0"/>
            <c:spPr>
              <a:solidFill>
                <a:srgbClr val="6666FF"/>
              </a:solidFill>
              <a:ln>
                <a:noFill/>
              </a:ln>
              <a:effectLst/>
            </c:spPr>
            <c:extLst>
              <c:ext xmlns:c16="http://schemas.microsoft.com/office/drawing/2014/chart" uri="{C3380CC4-5D6E-409C-BE32-E72D297353CC}">
                <c16:uniqueId val="{00000013-AE07-4945-9CED-67F55C6F8510}"/>
              </c:ext>
            </c:extLst>
          </c:dPt>
          <c:dLbls>
            <c:dLbl>
              <c:idx val="0"/>
              <c:layout>
                <c:manualLayout>
                  <c:x val="-1.177489151801716E-3"/>
                  <c:y val="-0.379797820025227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E07-4945-9CED-67F55C6F8510}"/>
                </c:ext>
              </c:extLst>
            </c:dLbl>
            <c:dLbl>
              <c:idx val="1"/>
              <c:layout>
                <c:manualLayout>
                  <c:x val="2.3549783036034104E-3"/>
                  <c:y val="-0.3663408330920092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E07-4945-9CED-67F55C6F8510}"/>
                </c:ext>
              </c:extLst>
            </c:dLbl>
            <c:dLbl>
              <c:idx val="2"/>
              <c:layout>
                <c:manualLayout>
                  <c:x val="-2.354978303603475E-3"/>
                  <c:y val="-0.3484839491968132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E07-4945-9CED-67F55C6F8510}"/>
                </c:ext>
              </c:extLst>
            </c:dLbl>
            <c:dLbl>
              <c:idx val="3"/>
              <c:layout>
                <c:manualLayout>
                  <c:x val="1.177489151801716E-3"/>
                  <c:y val="-0.2830228114399713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E07-4945-9CED-67F55C6F8510}"/>
                </c:ext>
              </c:extLst>
            </c:dLbl>
            <c:dLbl>
              <c:idx val="4"/>
              <c:layout>
                <c:manualLayout>
                  <c:x val="-1.177489151801716E-3"/>
                  <c:y val="-0.3186241523694932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E07-4945-9CED-67F55C6F8510}"/>
                </c:ext>
              </c:extLst>
            </c:dLbl>
            <c:dLbl>
              <c:idx val="5"/>
              <c:layout>
                <c:manualLayout>
                  <c:x val="1.177489151801716E-3"/>
                  <c:y val="-0.35966503971643315"/>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E07-4945-9CED-67F55C6F8510}"/>
                </c:ext>
              </c:extLst>
            </c:dLbl>
            <c:dLbl>
              <c:idx val="6"/>
              <c:layout>
                <c:manualLayout>
                  <c:x val="4.7099566072067774E-3"/>
                  <c:y val="-0.3228874028542967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E07-4945-9CED-67F55C6F8510}"/>
                </c:ext>
              </c:extLst>
            </c:dLbl>
            <c:dLbl>
              <c:idx val="7"/>
              <c:layout>
                <c:manualLayout>
                  <c:x val="-8.6348206963603948E-17"/>
                  <c:y val="-0.3067885341944353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E07-4945-9CED-67F55C6F8510}"/>
                </c:ext>
              </c:extLst>
            </c:dLbl>
            <c:dLbl>
              <c:idx val="8"/>
              <c:layout>
                <c:manualLayout>
                  <c:x val="-1.177489151801716E-3"/>
                  <c:y val="-0.3586599256397978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E07-4945-9CED-67F55C6F8510}"/>
                </c:ext>
              </c:extLst>
            </c:dLbl>
            <c:dLbl>
              <c:idx val="9"/>
              <c:layout>
                <c:manualLayout>
                  <c:x val="0"/>
                  <c:y val="-0.3709141544670316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E07-4945-9CED-67F55C6F8510}"/>
                </c:ext>
              </c:extLst>
            </c:dLbl>
            <c:dLbl>
              <c:idx val="10"/>
              <c:layout>
                <c:manualLayout>
                  <c:x val="2.3549783036034321E-3"/>
                  <c:y val="-0.31511888617273698"/>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E07-4945-9CED-67F55C6F8510}"/>
                </c:ext>
              </c:extLst>
            </c:dLbl>
            <c:spPr>
              <a:noFill/>
              <a:ln>
                <a:noFill/>
              </a:ln>
              <a:effectLst/>
            </c:spPr>
            <c:txPr>
              <a:bodyPr rot="0" spcFirstLastPara="1" vertOverflow="ellipsis" vert="horz" wrap="square" lIns="38100" tIns="19050" rIns="38100" bIns="19050" anchor="t" anchorCtr="0">
                <a:spAutoFit/>
              </a:bodyPr>
              <a:lstStyle/>
              <a:p>
                <a:pPr>
                  <a:defRPr sz="1050" b="1" i="0" u="none" strike="noStrike" kern="1200" baseline="0">
                    <a:ln>
                      <a:noFill/>
                    </a:ln>
                    <a:solidFill>
                      <a:schemeClr val="tx1">
                        <a:lumMod val="75000"/>
                        <a:lumOff val="25000"/>
                      </a:schemeClr>
                    </a:solidFill>
                    <a:latin typeface="+mn-lt"/>
                    <a:ea typeface="+mn-ea"/>
                    <a:cs typeface="+mn-cs"/>
                  </a:defRPr>
                </a:pPr>
                <a:endParaRPr lang="es-MX"/>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'Cumplimiento 2025'!$C$13:$N$13</c:f>
              <c:strCache>
                <c:ptCount val="12"/>
                <c:pt idx="0">
                  <c:v>Direccionamiento Estrategico </c:v>
                </c:pt>
                <c:pt idx="1">
                  <c:v>Atención al Cliente</c:v>
                </c:pt>
                <c:pt idx="2">
                  <c:v>Bienestar</c:v>
                </c:pt>
                <c:pt idx="3">
                  <c:v>Crédito</c:v>
                </c:pt>
                <c:pt idx="4">
                  <c:v>Cartera</c:v>
                </c:pt>
                <c:pt idx="5">
                  <c:v>Gestión Contractual</c:v>
                </c:pt>
                <c:pt idx="6">
                  <c:v>Gestión de la Información</c:v>
                </c:pt>
                <c:pt idx="7">
                  <c:v>Gestión de Recursos Físicos </c:v>
                </c:pt>
                <c:pt idx="8">
                  <c:v>Gestión del Talento Humano</c:v>
                </c:pt>
                <c:pt idx="9">
                  <c:v>Gestión Financiera</c:v>
                </c:pt>
                <c:pt idx="10">
                  <c:v>Gestión Jurídica</c:v>
                </c:pt>
                <c:pt idx="11">
                  <c:v>Gestion del mejoramiento </c:v>
                </c:pt>
              </c:strCache>
            </c:strRef>
          </c:cat>
          <c:val>
            <c:numRef>
              <c:f>'Cumplimiento 2025'!$C$18:$N$18</c:f>
              <c:numCache>
                <c:formatCode>0.00\ %</c:formatCode>
                <c:ptCount val="12"/>
                <c:pt idx="0">
                  <c:v>0.125</c:v>
                </c:pt>
                <c:pt idx="1">
                  <c:v>0.24108730398449496</c:v>
                </c:pt>
                <c:pt idx="2">
                  <c:v>0.1768776382628604</c:v>
                </c:pt>
                <c:pt idx="3">
                  <c:v>0.20044444444444443</c:v>
                </c:pt>
                <c:pt idx="4">
                  <c:v>0.24137931034482757</c:v>
                </c:pt>
                <c:pt idx="5">
                  <c:v>0.21236559139784947</c:v>
                </c:pt>
                <c:pt idx="6">
                  <c:v>0.2</c:v>
                </c:pt>
                <c:pt idx="7">
                  <c:v>0.13020833333333334</c:v>
                </c:pt>
                <c:pt idx="8">
                  <c:v>0.17818516193129197</c:v>
                </c:pt>
                <c:pt idx="9">
                  <c:v>0.20240256070560056</c:v>
                </c:pt>
                <c:pt idx="10">
                  <c:v>5.5648148148148148E-2</c:v>
                </c:pt>
                <c:pt idx="11">
                  <c:v>0.10487117552334944</c:v>
                </c:pt>
              </c:numCache>
            </c:numRef>
          </c:val>
          <c:extLst>
            <c:ext xmlns:c16="http://schemas.microsoft.com/office/drawing/2014/chart" uri="{C3380CC4-5D6E-409C-BE32-E72D297353CC}">
              <c16:uniqueId val="{00000015-AE07-4945-9CED-67F55C6F8510}"/>
            </c:ext>
          </c:extLst>
        </c:ser>
        <c:dLbls>
          <c:showLegendKey val="0"/>
          <c:showVal val="1"/>
          <c:showCatName val="0"/>
          <c:showSerName val="0"/>
          <c:showPercent val="0"/>
          <c:showBubbleSize val="0"/>
        </c:dLbls>
        <c:gapWidth val="300"/>
        <c:overlap val="100"/>
        <c:serLines>
          <c:spPr>
            <a:ln w="9525" cap="flat" cmpd="sng" algn="ctr">
              <a:solidFill>
                <a:schemeClr val="tx1">
                  <a:lumMod val="35000"/>
                  <a:lumOff val="65000"/>
                </a:schemeClr>
              </a:solidFill>
              <a:round/>
            </a:ln>
            <a:effectLst/>
          </c:spPr>
        </c:serLines>
        <c:axId val="1336576480"/>
        <c:axId val="1336576960"/>
      </c:barChart>
      <c:dateAx>
        <c:axId val="13365764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b" anchorCtr="0"/>
          <a:lstStyle/>
          <a:p>
            <a:pPr>
              <a:defRPr sz="1000" b="0" i="0" u="none" strike="noStrike" kern="1200" baseline="0">
                <a:ln>
                  <a:noFill/>
                </a:ln>
                <a:solidFill>
                  <a:schemeClr val="tx2"/>
                </a:solidFill>
                <a:latin typeface="+mn-lt"/>
                <a:ea typeface="+mn-ea"/>
                <a:cs typeface="+mn-cs"/>
              </a:defRPr>
            </a:pPr>
            <a:endParaRPr lang="es-MX"/>
          </a:p>
        </c:txPr>
        <c:crossAx val="1336576960"/>
        <c:crosses val="autoZero"/>
        <c:auto val="0"/>
        <c:lblOffset val="100"/>
        <c:baseTimeUnit val="days"/>
      </c:dateAx>
      <c:valAx>
        <c:axId val="1336576960"/>
        <c:scaling>
          <c:orientation val="minMax"/>
        </c:scaling>
        <c:delete val="1"/>
        <c:axPos val="l"/>
        <c:numFmt formatCode="0.00\ %" sourceLinked="1"/>
        <c:majorTickMark val="out"/>
        <c:minorTickMark val="none"/>
        <c:tickLblPos val="nextTo"/>
        <c:crossAx val="1336576480"/>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rot="5400000" vert="horz" anchor="t" anchorCtr="0"/>
    <a:lstStyle/>
    <a:p>
      <a:pPr>
        <a:defRPr>
          <a:ln>
            <a:noFill/>
          </a:ln>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1193425</xdr:colOff>
      <xdr:row>21</xdr:row>
      <xdr:rowOff>113179</xdr:rowOff>
    </xdr:from>
    <xdr:to>
      <xdr:col>14</xdr:col>
      <xdr:colOff>963705</xdr:colOff>
      <xdr:row>48</xdr:row>
      <xdr:rowOff>33617</xdr:rowOff>
    </xdr:to>
    <xdr:graphicFrame macro="">
      <xdr:nvGraphicFramePr>
        <xdr:cNvPr id="2" name="Gráfico 1">
          <a:extLst>
            <a:ext uri="{FF2B5EF4-FFF2-40B4-BE49-F238E27FC236}">
              <a16:creationId xmlns:a16="http://schemas.microsoft.com/office/drawing/2014/main" id="{82D99225-B3C9-4F07-8C86-A206F3492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438896</xdr:colOff>
      <xdr:row>51</xdr:row>
      <xdr:rowOff>34737</xdr:rowOff>
    </xdr:from>
    <xdr:to>
      <xdr:col>14</xdr:col>
      <xdr:colOff>108323</xdr:colOff>
      <xdr:row>88</xdr:row>
      <xdr:rowOff>89647</xdr:rowOff>
    </xdr:to>
    <xdr:graphicFrame macro="">
      <xdr:nvGraphicFramePr>
        <xdr:cNvPr id="3" name="Gráfico 2">
          <a:extLst>
            <a:ext uri="{FF2B5EF4-FFF2-40B4-BE49-F238E27FC236}">
              <a16:creationId xmlns:a16="http://schemas.microsoft.com/office/drawing/2014/main" id="{1E987863-C96B-4BED-B14F-E3C6379ED1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mainserver2\01_PROCESOS%20ESTRATEGICOS\DIRECCIONAMIENTO%20ESTRAT&#201;GICO\05_PLANES\PLAN%20DE%20ACCION\2024\SEGUIMIENTOS\4%20TO%20SEGUIMIENTO%20PLAN%20DE%20ACCIO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de acción 2024"/>
    </sheetNames>
    <sheetDataSet>
      <sheetData sheetId="0"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T72"/>
  <sheetViews>
    <sheetView showGridLines="0" zoomScale="80" zoomScaleNormal="80" workbookViewId="0">
      <pane xSplit="5" ySplit="10" topLeftCell="J15" activePane="bottomRight" state="frozen"/>
      <selection pane="topRight" activeCell="E1" sqref="E1"/>
      <selection pane="bottomLeft" activeCell="A11" sqref="A11"/>
      <selection pane="bottomRight" activeCell="M27" sqref="M27"/>
    </sheetView>
  </sheetViews>
  <sheetFormatPr baseColWidth="10" defaultColWidth="0" defaultRowHeight="15" zeroHeight="1" x14ac:dyDescent="0.25"/>
  <cols>
    <col min="1" max="1" width="3.85546875" style="77" customWidth="1"/>
    <col min="2" max="2" width="10" style="1" customWidth="1"/>
    <col min="3" max="3" width="30.42578125" style="2" customWidth="1"/>
    <col min="4" max="4" width="30.85546875" style="2" customWidth="1"/>
    <col min="5" max="5" width="22.7109375" style="2" customWidth="1"/>
    <col min="6" max="6" width="23.85546875" style="2" customWidth="1"/>
    <col min="7" max="7" width="24.7109375" style="2" customWidth="1"/>
    <col min="8" max="8" width="36.28515625" style="2" customWidth="1"/>
    <col min="9" max="9" width="26.85546875" style="3" customWidth="1"/>
    <col min="10" max="10" width="28.42578125" style="2" customWidth="1"/>
    <col min="11" max="11" width="33.140625" style="2" customWidth="1"/>
    <col min="12" max="12" width="15.42578125" style="2" customWidth="1"/>
    <col min="13" max="13" width="15.140625" style="2" customWidth="1"/>
    <col min="14" max="14" width="15.85546875" style="2" customWidth="1"/>
    <col min="15" max="15" width="21.42578125" style="2" hidden="1" customWidth="1"/>
    <col min="16" max="16" width="15.7109375" style="2" hidden="1" customWidth="1"/>
    <col min="17" max="17" width="18" style="2" hidden="1" customWidth="1"/>
    <col min="18" max="18" width="11.42578125" style="2" hidden="1" customWidth="1"/>
    <col min="19" max="19" width="20.42578125" style="2" hidden="1" customWidth="1"/>
    <col min="20" max="20" width="22.7109375" style="2" hidden="1" customWidth="1"/>
    <col min="21" max="21" width="14.7109375" style="2" customWidth="1"/>
    <col min="22" max="22" width="15" style="2" customWidth="1"/>
    <col min="23" max="23" width="10.7109375" style="2" customWidth="1"/>
    <col min="24" max="24" width="14" style="2" hidden="1" customWidth="1"/>
    <col min="25" max="25" width="14.42578125" style="2" hidden="1" customWidth="1"/>
    <col min="26" max="32" width="10.7109375" style="2" hidden="1" customWidth="1"/>
    <col min="33" max="33" width="22.85546875" style="4" customWidth="1"/>
    <col min="34" max="34" width="21.42578125" style="4" customWidth="1"/>
    <col min="35" max="35" width="20.140625" style="2" hidden="1" customWidth="1"/>
    <col min="36" max="36" width="18.85546875" style="2" hidden="1" customWidth="1"/>
    <col min="37" max="37" width="53.28515625" style="2" customWidth="1"/>
    <col min="38" max="38" width="51.28515625" style="2" customWidth="1"/>
    <col min="39" max="44" width="14.42578125" style="2" hidden="1" customWidth="1"/>
    <col min="45" max="45" width="3.85546875" style="77" customWidth="1"/>
    <col min="46" max="46" width="11.42578125" style="77" hidden="1" customWidth="1"/>
    <col min="47" max="16384" width="14.42578125" style="77" hidden="1"/>
  </cols>
  <sheetData>
    <row r="1" spans="2:44" s="56" customFormat="1" ht="15" customHeight="1" x14ac:dyDescent="0.25">
      <c r="C1" s="5"/>
      <c r="D1" s="5"/>
      <c r="E1" s="5"/>
      <c r="F1" s="5"/>
      <c r="G1" s="5"/>
      <c r="H1" s="5"/>
      <c r="I1" s="6"/>
      <c r="J1" s="5"/>
      <c r="K1" s="5"/>
      <c r="L1" s="5"/>
      <c r="M1" s="5"/>
      <c r="N1" s="5"/>
      <c r="O1" s="5"/>
      <c r="P1" s="5"/>
      <c r="Q1" s="5"/>
      <c r="R1" s="5"/>
      <c r="S1" s="5"/>
      <c r="T1" s="5"/>
      <c r="U1" s="5"/>
      <c r="V1" s="5"/>
      <c r="W1" s="5"/>
      <c r="X1" s="5"/>
      <c r="Y1" s="5"/>
      <c r="Z1" s="5"/>
      <c r="AA1" s="5"/>
      <c r="AB1" s="5"/>
      <c r="AC1" s="5"/>
      <c r="AD1" s="5"/>
      <c r="AE1" s="5"/>
      <c r="AF1" s="5"/>
      <c r="AG1" s="7"/>
      <c r="AH1" s="7"/>
      <c r="AI1" s="5"/>
      <c r="AJ1" s="5"/>
      <c r="AK1" s="5"/>
      <c r="AL1" s="5"/>
      <c r="AM1" s="5"/>
      <c r="AN1" s="5"/>
      <c r="AO1" s="5"/>
      <c r="AP1" s="5"/>
      <c r="AQ1" s="5"/>
      <c r="AR1" s="5"/>
    </row>
    <row r="2" spans="2:44" s="56" customFormat="1" ht="49.5" hidden="1" customHeight="1" thickBot="1" x14ac:dyDescent="0.25">
      <c r="B2" s="210"/>
      <c r="C2" s="211"/>
      <c r="D2" s="211"/>
      <c r="E2" s="211"/>
      <c r="F2" s="212"/>
      <c r="G2" s="206" t="s">
        <v>0</v>
      </c>
      <c r="H2" s="206"/>
      <c r="I2" s="206"/>
      <c r="J2" s="206"/>
      <c r="K2" s="206"/>
      <c r="L2" s="206"/>
      <c r="M2" s="206"/>
      <c r="N2" s="206"/>
      <c r="O2" s="206"/>
      <c r="P2" s="206"/>
      <c r="Q2" s="206"/>
      <c r="R2" s="206"/>
      <c r="S2" s="206"/>
      <c r="T2" s="206"/>
      <c r="U2" s="206"/>
      <c r="V2" s="206"/>
      <c r="W2" s="206"/>
      <c r="X2" s="206"/>
      <c r="Y2" s="206"/>
      <c r="Z2" s="206"/>
      <c r="AA2" s="206"/>
      <c r="AB2" s="206"/>
      <c r="AC2" s="206"/>
      <c r="AD2" s="206"/>
      <c r="AE2" s="206"/>
      <c r="AF2" s="206"/>
      <c r="AG2" s="206"/>
      <c r="AH2" s="206"/>
      <c r="AI2" s="206"/>
      <c r="AJ2" s="206"/>
      <c r="AK2" s="194" t="s">
        <v>437</v>
      </c>
      <c r="AL2" s="195"/>
      <c r="AM2" s="5"/>
      <c r="AN2" s="5"/>
      <c r="AO2" s="5"/>
      <c r="AP2" s="5"/>
      <c r="AQ2" s="5"/>
      <c r="AR2" s="5"/>
    </row>
    <row r="3" spans="2:44" s="56" customFormat="1" ht="49.5" hidden="1" customHeight="1" thickBot="1" x14ac:dyDescent="0.25">
      <c r="B3" s="213"/>
      <c r="C3" s="214"/>
      <c r="D3" s="214"/>
      <c r="E3" s="214"/>
      <c r="F3" s="215"/>
      <c r="G3" s="206"/>
      <c r="H3" s="206"/>
      <c r="I3" s="206"/>
      <c r="J3" s="206"/>
      <c r="K3" s="206"/>
      <c r="L3" s="206"/>
      <c r="M3" s="206"/>
      <c r="N3" s="206"/>
      <c r="O3" s="206"/>
      <c r="P3" s="206"/>
      <c r="Q3" s="206"/>
      <c r="R3" s="206"/>
      <c r="S3" s="206"/>
      <c r="T3" s="206"/>
      <c r="U3" s="206"/>
      <c r="V3" s="206"/>
      <c r="W3" s="206"/>
      <c r="X3" s="206"/>
      <c r="Y3" s="206"/>
      <c r="Z3" s="206"/>
      <c r="AA3" s="206"/>
      <c r="AB3" s="206"/>
      <c r="AC3" s="206"/>
      <c r="AD3" s="206"/>
      <c r="AE3" s="206"/>
      <c r="AF3" s="206"/>
      <c r="AG3" s="206"/>
      <c r="AH3" s="206"/>
      <c r="AI3" s="206"/>
      <c r="AJ3" s="206"/>
      <c r="AK3" s="194" t="s">
        <v>438</v>
      </c>
      <c r="AL3" s="195"/>
      <c r="AM3" s="5"/>
      <c r="AN3" s="5"/>
      <c r="AO3" s="5"/>
      <c r="AP3" s="5"/>
      <c r="AQ3" s="5"/>
      <c r="AR3" s="5"/>
    </row>
    <row r="4" spans="2:44" s="56" customFormat="1" ht="49.5" hidden="1" customHeight="1" thickBot="1" x14ac:dyDescent="0.25">
      <c r="B4" s="216"/>
      <c r="C4" s="217"/>
      <c r="D4" s="217"/>
      <c r="E4" s="217"/>
      <c r="F4" s="218"/>
      <c r="G4" s="207" t="s">
        <v>1</v>
      </c>
      <c r="H4" s="207"/>
      <c r="I4" s="207"/>
      <c r="J4" s="207"/>
      <c r="K4" s="207"/>
      <c r="L4" s="207"/>
      <c r="M4" s="207"/>
      <c r="N4" s="207"/>
      <c r="O4" s="207"/>
      <c r="P4" s="207"/>
      <c r="Q4" s="207"/>
      <c r="R4" s="207"/>
      <c r="S4" s="207"/>
      <c r="T4" s="207"/>
      <c r="U4" s="207"/>
      <c r="V4" s="207"/>
      <c r="W4" s="207"/>
      <c r="X4" s="207"/>
      <c r="Y4" s="207"/>
      <c r="Z4" s="207"/>
      <c r="AA4" s="207"/>
      <c r="AB4" s="207"/>
      <c r="AC4" s="207"/>
      <c r="AD4" s="207"/>
      <c r="AE4" s="207"/>
      <c r="AF4" s="207"/>
      <c r="AG4" s="207"/>
      <c r="AH4" s="207"/>
      <c r="AI4" s="207"/>
      <c r="AJ4" s="207"/>
      <c r="AK4" s="194" t="s">
        <v>439</v>
      </c>
      <c r="AL4" s="195"/>
      <c r="AM4" s="5"/>
      <c r="AN4" s="5"/>
      <c r="AO4" s="5"/>
      <c r="AP4" s="5"/>
      <c r="AQ4" s="5"/>
      <c r="AR4" s="5"/>
    </row>
    <row r="5" spans="2:44" s="56" customFormat="1" ht="12" hidden="1" customHeight="1" thickBot="1" x14ac:dyDescent="0.25">
      <c r="B5" s="75"/>
      <c r="C5" s="8"/>
      <c r="D5" s="8"/>
      <c r="E5" s="8"/>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5"/>
      <c r="AL5" s="5"/>
      <c r="AM5" s="5"/>
      <c r="AN5" s="5"/>
      <c r="AO5" s="5"/>
      <c r="AP5" s="5"/>
      <c r="AQ5" s="5"/>
      <c r="AR5" s="5"/>
    </row>
    <row r="6" spans="2:44" s="56" customFormat="1" ht="30.75" hidden="1" customHeight="1" thickBot="1" x14ac:dyDescent="0.25">
      <c r="B6" s="79"/>
      <c r="C6" s="80" t="s">
        <v>2</v>
      </c>
      <c r="D6" s="81">
        <v>2025</v>
      </c>
      <c r="E6" s="208" t="s">
        <v>3</v>
      </c>
      <c r="F6" s="208"/>
      <c r="G6" s="208"/>
      <c r="H6" s="208"/>
      <c r="I6" s="208"/>
      <c r="J6" s="208"/>
      <c r="K6" s="208"/>
      <c r="L6" s="208"/>
      <c r="M6" s="208"/>
      <c r="N6" s="208"/>
      <c r="O6" s="208"/>
      <c r="P6" s="208"/>
      <c r="Q6" s="208"/>
      <c r="R6" s="10"/>
      <c r="S6" s="199" t="s">
        <v>4</v>
      </c>
      <c r="T6" s="200"/>
      <c r="U6" s="200"/>
      <c r="V6" s="200"/>
      <c r="W6" s="200"/>
      <c r="X6" s="200"/>
      <c r="Y6" s="200"/>
      <c r="Z6" s="200"/>
      <c r="AA6" s="200"/>
      <c r="AB6" s="200"/>
      <c r="AC6" s="200"/>
      <c r="AD6" s="200"/>
      <c r="AE6" s="200"/>
      <c r="AF6" s="200"/>
      <c r="AG6" s="200"/>
      <c r="AH6" s="200"/>
      <c r="AI6" s="200"/>
      <c r="AJ6" s="200"/>
      <c r="AK6" s="200"/>
      <c r="AL6" s="201"/>
      <c r="AM6" s="5"/>
      <c r="AN6" s="5"/>
      <c r="AO6" s="5"/>
      <c r="AP6" s="5"/>
      <c r="AQ6" s="5"/>
      <c r="AR6" s="5"/>
    </row>
    <row r="7" spans="2:44" s="56" customFormat="1" ht="30.75" hidden="1" customHeight="1" thickBot="1" x14ac:dyDescent="0.25">
      <c r="B7" s="82"/>
      <c r="C7" s="83" t="s">
        <v>5</v>
      </c>
      <c r="D7" s="84" t="s">
        <v>6</v>
      </c>
      <c r="E7" s="209" t="s">
        <v>7</v>
      </c>
      <c r="F7" s="209"/>
      <c r="G7" s="209"/>
      <c r="H7" s="209"/>
      <c r="I7" s="209"/>
      <c r="J7" s="209"/>
      <c r="K7" s="209"/>
      <c r="L7" s="209"/>
      <c r="M7" s="209"/>
      <c r="N7" s="209"/>
      <c r="O7" s="209"/>
      <c r="P7" s="209"/>
      <c r="Q7" s="209"/>
      <c r="R7" s="10"/>
      <c r="S7" s="202" t="s">
        <v>8</v>
      </c>
      <c r="T7" s="203"/>
      <c r="U7" s="203"/>
      <c r="V7" s="203"/>
      <c r="W7" s="203"/>
      <c r="X7" s="203"/>
      <c r="Y7" s="203"/>
      <c r="Z7" s="203"/>
      <c r="AA7" s="203"/>
      <c r="AB7" s="203"/>
      <c r="AC7" s="203"/>
      <c r="AD7" s="203"/>
      <c r="AE7" s="203"/>
      <c r="AF7" s="203"/>
      <c r="AG7" s="203"/>
      <c r="AH7" s="203"/>
      <c r="AI7" s="203"/>
      <c r="AJ7" s="203"/>
      <c r="AK7" s="203"/>
      <c r="AL7" s="204"/>
      <c r="AM7" s="5"/>
      <c r="AN7" s="5"/>
      <c r="AO7" s="5"/>
      <c r="AP7" s="5"/>
      <c r="AQ7" s="5"/>
      <c r="AR7" s="5"/>
    </row>
    <row r="8" spans="2:44" s="56" customFormat="1" ht="15" customHeight="1" thickBot="1" x14ac:dyDescent="0.3">
      <c r="C8" s="11"/>
      <c r="D8" s="12"/>
      <c r="E8" s="12"/>
      <c r="F8" s="12"/>
      <c r="G8" s="12"/>
      <c r="H8" s="12"/>
      <c r="I8" s="13"/>
      <c r="J8" s="12"/>
      <c r="K8" s="12"/>
      <c r="L8" s="12"/>
      <c r="M8" s="12"/>
      <c r="N8" s="12"/>
      <c r="O8" s="12"/>
      <c r="P8" s="12"/>
      <c r="Q8" s="12"/>
      <c r="R8" s="12"/>
      <c r="S8" s="12"/>
      <c r="T8" s="12"/>
      <c r="U8" s="12"/>
      <c r="V8" s="12"/>
      <c r="W8" s="12"/>
      <c r="X8" s="12"/>
      <c r="Y8" s="12"/>
      <c r="Z8" s="12"/>
      <c r="AA8" s="12"/>
      <c r="AB8" s="12"/>
      <c r="AC8" s="12"/>
      <c r="AD8" s="12"/>
      <c r="AE8" s="12"/>
      <c r="AF8" s="12"/>
      <c r="AG8" s="14"/>
      <c r="AH8" s="14"/>
      <c r="AI8" s="12"/>
      <c r="AJ8" s="12"/>
      <c r="AK8" s="5"/>
      <c r="AL8" s="5"/>
      <c r="AM8" s="5"/>
      <c r="AN8" s="5"/>
      <c r="AO8" s="5"/>
      <c r="AP8" s="5"/>
      <c r="AQ8" s="5"/>
      <c r="AR8" s="5"/>
    </row>
    <row r="9" spans="2:44" s="56" customFormat="1" ht="25.5" customHeight="1" thickBot="1" x14ac:dyDescent="0.25">
      <c r="B9" s="192" t="s">
        <v>419</v>
      </c>
      <c r="C9" s="192"/>
      <c r="D9" s="192"/>
      <c r="E9" s="192"/>
      <c r="F9" s="192"/>
      <c r="G9" s="193"/>
      <c r="H9" s="191" t="s">
        <v>9</v>
      </c>
      <c r="I9" s="192"/>
      <c r="J9" s="192"/>
      <c r="K9" s="192"/>
      <c r="L9" s="192"/>
      <c r="M9" s="192"/>
      <c r="N9" s="192"/>
      <c r="O9" s="192"/>
      <c r="P9" s="192"/>
      <c r="Q9" s="193"/>
      <c r="R9" s="219" t="s">
        <v>10</v>
      </c>
      <c r="S9" s="219"/>
      <c r="T9" s="219"/>
      <c r="U9" s="190" t="s">
        <v>11</v>
      </c>
      <c r="V9" s="190"/>
      <c r="W9" s="190"/>
      <c r="X9" s="190" t="s">
        <v>12</v>
      </c>
      <c r="Y9" s="190"/>
      <c r="Z9" s="190"/>
      <c r="AA9" s="190" t="s">
        <v>13</v>
      </c>
      <c r="AB9" s="190"/>
      <c r="AC9" s="190"/>
      <c r="AD9" s="190" t="s">
        <v>14</v>
      </c>
      <c r="AE9" s="190"/>
      <c r="AF9" s="190"/>
      <c r="AG9" s="197" t="s">
        <v>420</v>
      </c>
      <c r="AH9" s="198"/>
      <c r="AI9" s="197" t="s">
        <v>421</v>
      </c>
      <c r="AJ9" s="198"/>
      <c r="AK9" s="197" t="s">
        <v>436</v>
      </c>
      <c r="AL9" s="205"/>
      <c r="AM9" s="205"/>
      <c r="AN9" s="205"/>
      <c r="AO9" s="205"/>
      <c r="AP9" s="205"/>
      <c r="AQ9" s="205"/>
      <c r="AR9" s="198"/>
    </row>
    <row r="10" spans="2:44" s="56" customFormat="1" ht="80.25" customHeight="1" thickBot="1" x14ac:dyDescent="0.25">
      <c r="B10" s="78" t="s">
        <v>15</v>
      </c>
      <c r="C10" s="15" t="s">
        <v>16</v>
      </c>
      <c r="D10" s="16" t="s">
        <v>17</v>
      </c>
      <c r="E10" s="16" t="s">
        <v>18</v>
      </c>
      <c r="F10" s="16" t="s">
        <v>19</v>
      </c>
      <c r="G10" s="16" t="s">
        <v>20</v>
      </c>
      <c r="H10" s="17" t="s">
        <v>21</v>
      </c>
      <c r="I10" s="18" t="s">
        <v>22</v>
      </c>
      <c r="J10" s="18" t="s">
        <v>23</v>
      </c>
      <c r="K10" s="18" t="s">
        <v>24</v>
      </c>
      <c r="L10" s="18" t="s">
        <v>25</v>
      </c>
      <c r="M10" s="18" t="s">
        <v>26</v>
      </c>
      <c r="N10" s="18" t="s">
        <v>27</v>
      </c>
      <c r="O10" s="18" t="s">
        <v>28</v>
      </c>
      <c r="P10" s="15" t="s">
        <v>29</v>
      </c>
      <c r="Q10" s="19" t="s">
        <v>30</v>
      </c>
      <c r="R10" s="18" t="s">
        <v>31</v>
      </c>
      <c r="S10" s="18" t="s">
        <v>32</v>
      </c>
      <c r="T10" s="18" t="s">
        <v>33</v>
      </c>
      <c r="U10" s="20" t="s">
        <v>34</v>
      </c>
      <c r="V10" s="20" t="s">
        <v>35</v>
      </c>
      <c r="W10" s="20" t="s">
        <v>36</v>
      </c>
      <c r="X10" s="20" t="s">
        <v>34</v>
      </c>
      <c r="Y10" s="20" t="s">
        <v>35</v>
      </c>
      <c r="Z10" s="20" t="s">
        <v>37</v>
      </c>
      <c r="AA10" s="20" t="s">
        <v>34</v>
      </c>
      <c r="AB10" s="20" t="s">
        <v>35</v>
      </c>
      <c r="AC10" s="21" t="s">
        <v>38</v>
      </c>
      <c r="AD10" s="20" t="s">
        <v>34</v>
      </c>
      <c r="AE10" s="20" t="s">
        <v>35</v>
      </c>
      <c r="AF10" s="20" t="s">
        <v>39</v>
      </c>
      <c r="AG10" s="22" t="s">
        <v>40</v>
      </c>
      <c r="AH10" s="23" t="s">
        <v>41</v>
      </c>
      <c r="AI10" s="16" t="s">
        <v>42</v>
      </c>
      <c r="AJ10" s="16" t="s">
        <v>43</v>
      </c>
      <c r="AK10" s="85" t="s">
        <v>428</v>
      </c>
      <c r="AL10" s="85" t="s">
        <v>429</v>
      </c>
      <c r="AM10" s="86" t="s">
        <v>430</v>
      </c>
      <c r="AN10" s="87" t="s">
        <v>431</v>
      </c>
      <c r="AO10" s="86" t="s">
        <v>432</v>
      </c>
      <c r="AP10" s="88" t="s">
        <v>433</v>
      </c>
      <c r="AQ10" s="86" t="s">
        <v>434</v>
      </c>
      <c r="AR10" s="88" t="s">
        <v>435</v>
      </c>
    </row>
    <row r="11" spans="2:44" s="76" customFormat="1" ht="105" customHeight="1" thickBot="1" x14ac:dyDescent="0.25">
      <c r="B11" s="24">
        <v>1</v>
      </c>
      <c r="C11" s="25" t="s">
        <v>44</v>
      </c>
      <c r="D11" s="25" t="s">
        <v>45</v>
      </c>
      <c r="E11" s="26" t="s">
        <v>46</v>
      </c>
      <c r="F11" s="25" t="s">
        <v>47</v>
      </c>
      <c r="G11" s="25" t="s">
        <v>48</v>
      </c>
      <c r="H11" s="25" t="s">
        <v>49</v>
      </c>
      <c r="I11" s="25" t="s">
        <v>317</v>
      </c>
      <c r="J11" s="25" t="s">
        <v>50</v>
      </c>
      <c r="K11" s="25" t="s">
        <v>318</v>
      </c>
      <c r="L11" s="25" t="s">
        <v>51</v>
      </c>
      <c r="M11" s="25" t="s">
        <v>52</v>
      </c>
      <c r="N11" s="27">
        <v>86</v>
      </c>
      <c r="O11" s="25" t="s">
        <v>316</v>
      </c>
      <c r="P11" s="28" t="s">
        <v>312</v>
      </c>
      <c r="Q11" s="28">
        <v>1</v>
      </c>
      <c r="R11" s="25" t="s">
        <v>53</v>
      </c>
      <c r="S11" s="29">
        <v>45658</v>
      </c>
      <c r="T11" s="29">
        <v>46022</v>
      </c>
      <c r="U11" s="108" t="s">
        <v>172</v>
      </c>
      <c r="V11" s="108" t="s">
        <v>172</v>
      </c>
      <c r="W11" s="109" t="s">
        <v>54</v>
      </c>
      <c r="X11" s="30" t="s">
        <v>172</v>
      </c>
      <c r="Y11" s="30" t="s">
        <v>172</v>
      </c>
      <c r="Z11" s="31" t="s">
        <v>54</v>
      </c>
      <c r="AA11" s="30">
        <v>0</v>
      </c>
      <c r="AB11" s="57">
        <v>86</v>
      </c>
      <c r="AC11" s="31">
        <f>+(AA11/AB11)*$Q$11</f>
        <v>0</v>
      </c>
      <c r="AD11" s="30" t="s">
        <v>172</v>
      </c>
      <c r="AE11" s="30" t="s">
        <v>172</v>
      </c>
      <c r="AF11" s="31" t="s">
        <v>54</v>
      </c>
      <c r="AG11" s="58">
        <f>+(AC11)</f>
        <v>0</v>
      </c>
      <c r="AH11" s="196">
        <f>+(AG11+AG12+AG13+AG14)/4</f>
        <v>0.125</v>
      </c>
      <c r="AI11" s="31" t="s">
        <v>55</v>
      </c>
      <c r="AJ11" s="31" t="s">
        <v>56</v>
      </c>
      <c r="AK11" s="127" t="s">
        <v>518</v>
      </c>
      <c r="AL11" s="127" t="s">
        <v>520</v>
      </c>
      <c r="AM11" s="89"/>
      <c r="AN11" s="90"/>
      <c r="AO11" s="89"/>
      <c r="AP11" s="91"/>
      <c r="AQ11" s="89"/>
      <c r="AR11" s="91"/>
    </row>
    <row r="12" spans="2:44" s="76" customFormat="1" ht="139.5" customHeight="1" thickBot="1" x14ac:dyDescent="0.25">
      <c r="B12" s="24">
        <v>2</v>
      </c>
      <c r="C12" s="59" t="s">
        <v>44</v>
      </c>
      <c r="D12" s="25" t="s">
        <v>45</v>
      </c>
      <c r="E12" s="26" t="s">
        <v>46</v>
      </c>
      <c r="F12" s="25" t="s">
        <v>47</v>
      </c>
      <c r="G12" s="25" t="s">
        <v>48</v>
      </c>
      <c r="H12" s="25" t="s">
        <v>313</v>
      </c>
      <c r="I12" s="25" t="s">
        <v>319</v>
      </c>
      <c r="J12" s="25" t="s">
        <v>314</v>
      </c>
      <c r="K12" s="25" t="s">
        <v>320</v>
      </c>
      <c r="L12" s="25" t="s">
        <v>57</v>
      </c>
      <c r="M12" s="25" t="s">
        <v>52</v>
      </c>
      <c r="N12" s="60">
        <v>4</v>
      </c>
      <c r="O12" s="25" t="s">
        <v>315</v>
      </c>
      <c r="P12" s="61">
        <v>2</v>
      </c>
      <c r="Q12" s="28">
        <v>0.5</v>
      </c>
      <c r="R12" s="25" t="s">
        <v>101</v>
      </c>
      <c r="S12" s="29">
        <v>45658</v>
      </c>
      <c r="T12" s="29">
        <v>46022</v>
      </c>
      <c r="U12" s="108" t="s">
        <v>172</v>
      </c>
      <c r="V12" s="108" t="s">
        <v>172</v>
      </c>
      <c r="W12" s="109" t="s">
        <v>54</v>
      </c>
      <c r="X12" s="27">
        <v>0</v>
      </c>
      <c r="Y12" s="30">
        <v>1</v>
      </c>
      <c r="Z12" s="31">
        <f>+(X12/Y12)*$Q$12</f>
        <v>0</v>
      </c>
      <c r="AA12" s="30" t="s">
        <v>172</v>
      </c>
      <c r="AB12" s="30" t="s">
        <v>172</v>
      </c>
      <c r="AC12" s="31" t="s">
        <v>54</v>
      </c>
      <c r="AD12" s="27">
        <v>0</v>
      </c>
      <c r="AE12" s="30">
        <v>1</v>
      </c>
      <c r="AF12" s="31">
        <f>+(AD12/AE12)*$Q$12</f>
        <v>0</v>
      </c>
      <c r="AG12" s="32">
        <f>Z12+AF12</f>
        <v>0</v>
      </c>
      <c r="AH12" s="196"/>
      <c r="AI12" s="31" t="s">
        <v>55</v>
      </c>
      <c r="AJ12" s="73" t="s">
        <v>56</v>
      </c>
      <c r="AK12" s="127" t="s">
        <v>519</v>
      </c>
      <c r="AL12" s="127" t="s">
        <v>594</v>
      </c>
      <c r="AM12" s="89"/>
      <c r="AN12" s="90"/>
      <c r="AO12" s="89"/>
      <c r="AP12" s="91"/>
      <c r="AQ12" s="89"/>
      <c r="AR12" s="91"/>
    </row>
    <row r="13" spans="2:44" s="76" customFormat="1" ht="138.75" customHeight="1" thickBot="1" x14ac:dyDescent="0.25">
      <c r="B13" s="24">
        <v>3</v>
      </c>
      <c r="C13" s="25" t="s">
        <v>422</v>
      </c>
      <c r="D13" s="62" t="s">
        <v>45</v>
      </c>
      <c r="E13" s="26" t="s">
        <v>46</v>
      </c>
      <c r="F13" s="25" t="s">
        <v>47</v>
      </c>
      <c r="G13" s="25" t="s">
        <v>48</v>
      </c>
      <c r="H13" s="25" t="s">
        <v>59</v>
      </c>
      <c r="I13" s="25" t="s">
        <v>60</v>
      </c>
      <c r="J13" s="25" t="s">
        <v>61</v>
      </c>
      <c r="K13" s="25" t="s">
        <v>62</v>
      </c>
      <c r="L13" s="25" t="s">
        <v>57</v>
      </c>
      <c r="M13" s="25" t="s">
        <v>63</v>
      </c>
      <c r="N13" s="25">
        <v>4</v>
      </c>
      <c r="O13" s="25" t="s">
        <v>315</v>
      </c>
      <c r="P13" s="27">
        <v>4</v>
      </c>
      <c r="Q13" s="28">
        <v>0.25</v>
      </c>
      <c r="R13" s="25" t="s">
        <v>64</v>
      </c>
      <c r="S13" s="29">
        <v>45658</v>
      </c>
      <c r="T13" s="29">
        <v>46022</v>
      </c>
      <c r="U13" s="110">
        <v>1</v>
      </c>
      <c r="V13" s="108">
        <v>1</v>
      </c>
      <c r="W13" s="109">
        <f>+(U13/V13)*$Q$13</f>
        <v>0.25</v>
      </c>
      <c r="X13" s="27">
        <v>0</v>
      </c>
      <c r="Y13" s="30">
        <v>1</v>
      </c>
      <c r="Z13" s="31">
        <f>+(X13/Y13)*$Q$13</f>
        <v>0</v>
      </c>
      <c r="AA13" s="27">
        <v>0</v>
      </c>
      <c r="AB13" s="30">
        <v>1</v>
      </c>
      <c r="AC13" s="31">
        <f>+(AA13/AB13)*$Q$13</f>
        <v>0</v>
      </c>
      <c r="AD13" s="27">
        <v>0</v>
      </c>
      <c r="AE13" s="30">
        <v>1</v>
      </c>
      <c r="AF13" s="31">
        <f>+(AD13/AE13)*$Q$13</f>
        <v>0</v>
      </c>
      <c r="AG13" s="32">
        <f t="shared" ref="AG13:AG20" si="0">+W13+Z13+AC13+AF13</f>
        <v>0.25</v>
      </c>
      <c r="AH13" s="196"/>
      <c r="AI13" s="31" t="s">
        <v>55</v>
      </c>
      <c r="AJ13" s="73" t="s">
        <v>56</v>
      </c>
      <c r="AK13" s="127" t="s">
        <v>606</v>
      </c>
      <c r="AL13" s="127" t="s">
        <v>600</v>
      </c>
      <c r="AM13" s="89"/>
      <c r="AN13" s="90"/>
      <c r="AO13" s="89"/>
      <c r="AP13" s="91"/>
      <c r="AQ13" s="92"/>
      <c r="AR13" s="91"/>
    </row>
    <row r="14" spans="2:44" s="76" customFormat="1" ht="123" customHeight="1" thickBot="1" x14ac:dyDescent="0.25">
      <c r="B14" s="24">
        <v>4</v>
      </c>
      <c r="C14" s="25" t="s">
        <v>414</v>
      </c>
      <c r="D14" s="25" t="s">
        <v>45</v>
      </c>
      <c r="E14" s="26" t="s">
        <v>46</v>
      </c>
      <c r="F14" s="25" t="s">
        <v>47</v>
      </c>
      <c r="G14" s="25" t="s">
        <v>48</v>
      </c>
      <c r="H14" s="25" t="s">
        <v>65</v>
      </c>
      <c r="I14" s="25" t="s">
        <v>321</v>
      </c>
      <c r="J14" s="25" t="s">
        <v>66</v>
      </c>
      <c r="K14" s="25" t="s">
        <v>67</v>
      </c>
      <c r="L14" s="25" t="s">
        <v>57</v>
      </c>
      <c r="M14" s="25" t="s">
        <v>63</v>
      </c>
      <c r="N14" s="25">
        <v>2</v>
      </c>
      <c r="O14" s="25" t="s">
        <v>315</v>
      </c>
      <c r="P14" s="27">
        <v>4</v>
      </c>
      <c r="Q14" s="28">
        <v>0.25</v>
      </c>
      <c r="R14" s="25" t="s">
        <v>64</v>
      </c>
      <c r="S14" s="29">
        <v>45658</v>
      </c>
      <c r="T14" s="29">
        <v>46022</v>
      </c>
      <c r="U14" s="110">
        <v>1</v>
      </c>
      <c r="V14" s="108">
        <v>1</v>
      </c>
      <c r="W14" s="109">
        <f>+(U14/V14)*$Q$14</f>
        <v>0.25</v>
      </c>
      <c r="X14" s="27">
        <v>0</v>
      </c>
      <c r="Y14" s="30">
        <v>1</v>
      </c>
      <c r="Z14" s="31">
        <f>+(X14/Y14)*$Q$14</f>
        <v>0</v>
      </c>
      <c r="AA14" s="27">
        <v>0</v>
      </c>
      <c r="AB14" s="30">
        <v>1</v>
      </c>
      <c r="AC14" s="31">
        <f>+(AA14/AB14)*$Q$14</f>
        <v>0</v>
      </c>
      <c r="AD14" s="27">
        <v>0</v>
      </c>
      <c r="AE14" s="30">
        <v>1</v>
      </c>
      <c r="AF14" s="31">
        <f>+(AD14/AE14)*$Q$14</f>
        <v>0</v>
      </c>
      <c r="AG14" s="32">
        <f t="shared" si="0"/>
        <v>0.25</v>
      </c>
      <c r="AH14" s="196"/>
      <c r="AI14" s="31" t="s">
        <v>55</v>
      </c>
      <c r="AJ14" s="73" t="s">
        <v>56</v>
      </c>
      <c r="AK14" s="127" t="s">
        <v>595</v>
      </c>
      <c r="AL14" s="127" t="s">
        <v>596</v>
      </c>
      <c r="AM14" s="89"/>
      <c r="AN14" s="90"/>
      <c r="AO14" s="89"/>
      <c r="AP14" s="91"/>
      <c r="AQ14" s="89"/>
      <c r="AR14" s="91"/>
    </row>
    <row r="15" spans="2:44" s="54" customFormat="1" ht="133.5" customHeight="1" thickBot="1" x14ac:dyDescent="0.25">
      <c r="B15" s="44">
        <v>5</v>
      </c>
      <c r="C15" s="45" t="s">
        <v>68</v>
      </c>
      <c r="D15" s="45" t="s">
        <v>69</v>
      </c>
      <c r="E15" s="46" t="s">
        <v>70</v>
      </c>
      <c r="F15" s="45" t="s">
        <v>71</v>
      </c>
      <c r="G15" s="45" t="s">
        <v>72</v>
      </c>
      <c r="H15" s="45" t="s">
        <v>73</v>
      </c>
      <c r="I15" s="45" t="s">
        <v>322</v>
      </c>
      <c r="J15" s="45" t="s">
        <v>74</v>
      </c>
      <c r="K15" s="45" t="s">
        <v>75</v>
      </c>
      <c r="L15" s="45" t="s">
        <v>51</v>
      </c>
      <c r="M15" s="45" t="s">
        <v>52</v>
      </c>
      <c r="N15" s="63">
        <v>0.94</v>
      </c>
      <c r="O15" s="45" t="s">
        <v>76</v>
      </c>
      <c r="P15" s="63">
        <v>0.96</v>
      </c>
      <c r="Q15" s="48">
        <v>0.25</v>
      </c>
      <c r="R15" s="45" t="s">
        <v>64</v>
      </c>
      <c r="S15" s="49">
        <v>45658</v>
      </c>
      <c r="T15" s="49">
        <v>46022</v>
      </c>
      <c r="U15" s="111">
        <f>2165/2217</f>
        <v>0.97654488046910237</v>
      </c>
      <c r="V15" s="111">
        <f>+$P$15</f>
        <v>0.96</v>
      </c>
      <c r="W15" s="112">
        <f>IF(((U15*0.25)/V15)&gt;0.25,0.25,(U15*0.25)/V15)</f>
        <v>0.25</v>
      </c>
      <c r="X15" s="27">
        <v>0</v>
      </c>
      <c r="Y15" s="63">
        <f>+$P$15</f>
        <v>0.96</v>
      </c>
      <c r="Z15" s="51">
        <f>IF(((X15*0.25)/Y15)&gt;0.25,0.25,(X15*0.25)/Y15)</f>
        <v>0</v>
      </c>
      <c r="AA15" s="27">
        <v>0</v>
      </c>
      <c r="AB15" s="63">
        <f>+$P$15</f>
        <v>0.96</v>
      </c>
      <c r="AC15" s="51">
        <f>IF(((AA15*0.25)/AB15)&gt;0.25,0.25,(AA15*0.25)/AB15)</f>
        <v>0</v>
      </c>
      <c r="AD15" s="27">
        <v>0</v>
      </c>
      <c r="AE15" s="63">
        <f>+$P$15</f>
        <v>0.96</v>
      </c>
      <c r="AF15" s="51">
        <f>IF(((AD15*0.25)/AE15)&gt;0.25,0.25,(AD15*0.25)/AE15)</f>
        <v>0</v>
      </c>
      <c r="AG15" s="52">
        <f t="shared" si="0"/>
        <v>0.25</v>
      </c>
      <c r="AH15" s="220">
        <f>+(AG15+AG16+AG17+AG18)/4</f>
        <v>0.24108730398449496</v>
      </c>
      <c r="AI15" s="51" t="s">
        <v>77</v>
      </c>
      <c r="AJ15" s="74" t="s">
        <v>78</v>
      </c>
      <c r="AK15" s="127" t="s">
        <v>521</v>
      </c>
      <c r="AL15" s="107" t="s">
        <v>524</v>
      </c>
      <c r="AM15" s="94"/>
      <c r="AN15" s="90"/>
      <c r="AO15" s="89"/>
      <c r="AP15" s="91"/>
      <c r="AQ15" s="95"/>
      <c r="AR15" s="91"/>
    </row>
    <row r="16" spans="2:44" s="54" customFormat="1" ht="204" customHeight="1" thickBot="1" x14ac:dyDescent="0.25">
      <c r="B16" s="44">
        <v>6</v>
      </c>
      <c r="C16" s="45" t="s">
        <v>68</v>
      </c>
      <c r="D16" s="45" t="s">
        <v>69</v>
      </c>
      <c r="E16" s="46" t="s">
        <v>70</v>
      </c>
      <c r="F16" s="45" t="s">
        <v>79</v>
      </c>
      <c r="G16" s="45" t="s">
        <v>72</v>
      </c>
      <c r="H16" s="45" t="s">
        <v>80</v>
      </c>
      <c r="I16" s="45" t="s">
        <v>81</v>
      </c>
      <c r="J16" s="45" t="s">
        <v>82</v>
      </c>
      <c r="K16" s="45" t="s">
        <v>323</v>
      </c>
      <c r="L16" s="45" t="s">
        <v>51</v>
      </c>
      <c r="M16" s="45" t="s">
        <v>83</v>
      </c>
      <c r="N16" s="63">
        <v>0.93</v>
      </c>
      <c r="O16" s="45" t="s">
        <v>76</v>
      </c>
      <c r="P16" s="63">
        <v>0.95</v>
      </c>
      <c r="Q16" s="48">
        <v>0.25</v>
      </c>
      <c r="R16" s="45" t="s">
        <v>64</v>
      </c>
      <c r="S16" s="49">
        <v>45658</v>
      </c>
      <c r="T16" s="49">
        <v>46022</v>
      </c>
      <c r="U16" s="111">
        <f>233/246</f>
        <v>0.94715447154471544</v>
      </c>
      <c r="V16" s="111">
        <f>+$P$16</f>
        <v>0.95</v>
      </c>
      <c r="W16" s="112">
        <f>IF(((U16*$Q$16)/V16)&gt;0.25,0.25,(U16*$Q$16)/V16)</f>
        <v>0.24925117672229355</v>
      </c>
      <c r="X16" s="27">
        <v>0</v>
      </c>
      <c r="Y16" s="63">
        <f>+$P$16</f>
        <v>0.95</v>
      </c>
      <c r="Z16" s="51">
        <f>IF(((X16*$Q$16)/Y16)&gt;0.25,0.25,(X16*$Q$16)/Y16)</f>
        <v>0</v>
      </c>
      <c r="AA16" s="27">
        <v>0</v>
      </c>
      <c r="AB16" s="63">
        <f>+$P$16</f>
        <v>0.95</v>
      </c>
      <c r="AC16" s="51">
        <f>IF(((AA16*$Q$16)/AB16)&gt;0.25,0.25,(AA16*$Q$16)/AB16)</f>
        <v>0</v>
      </c>
      <c r="AD16" s="27">
        <v>0</v>
      </c>
      <c r="AE16" s="63">
        <f>+$P$16</f>
        <v>0.95</v>
      </c>
      <c r="AF16" s="51">
        <f>IF(((AD16*$Q$16)/AE16)&gt;0.25,0.25,(AD16*$Q$16)/AE16)</f>
        <v>0</v>
      </c>
      <c r="AG16" s="52">
        <f t="shared" si="0"/>
        <v>0.24925117672229355</v>
      </c>
      <c r="AH16" s="220"/>
      <c r="AI16" s="51" t="s">
        <v>77</v>
      </c>
      <c r="AJ16" s="74" t="s">
        <v>78</v>
      </c>
      <c r="AK16" s="127" t="s">
        <v>522</v>
      </c>
      <c r="AL16" s="107" t="s">
        <v>525</v>
      </c>
      <c r="AM16" s="94"/>
      <c r="AN16" s="97"/>
      <c r="AO16" s="89"/>
      <c r="AP16" s="91"/>
      <c r="AQ16" s="95"/>
      <c r="AR16" s="91"/>
    </row>
    <row r="17" spans="2:44" s="54" customFormat="1" ht="170.25" customHeight="1" thickBot="1" x14ac:dyDescent="0.25">
      <c r="B17" s="44">
        <v>7</v>
      </c>
      <c r="C17" s="45" t="s">
        <v>68</v>
      </c>
      <c r="D17" s="45" t="s">
        <v>69</v>
      </c>
      <c r="E17" s="46" t="s">
        <v>70</v>
      </c>
      <c r="F17" s="45" t="s">
        <v>79</v>
      </c>
      <c r="G17" s="45" t="s">
        <v>72</v>
      </c>
      <c r="H17" s="45" t="s">
        <v>325</v>
      </c>
      <c r="I17" s="45" t="s">
        <v>326</v>
      </c>
      <c r="J17" s="45" t="s">
        <v>327</v>
      </c>
      <c r="K17" s="45" t="s">
        <v>324</v>
      </c>
      <c r="L17" s="45" t="s">
        <v>51</v>
      </c>
      <c r="M17" s="45" t="s">
        <v>83</v>
      </c>
      <c r="N17" s="63">
        <v>0.75</v>
      </c>
      <c r="O17" s="45" t="s">
        <v>84</v>
      </c>
      <c r="P17" s="27" t="s">
        <v>364</v>
      </c>
      <c r="Q17" s="48">
        <v>0.25</v>
      </c>
      <c r="R17" s="45" t="s">
        <v>64</v>
      </c>
      <c r="S17" s="49">
        <v>45658</v>
      </c>
      <c r="T17" s="49">
        <v>46022</v>
      </c>
      <c r="U17" s="110">
        <v>11</v>
      </c>
      <c r="V17" s="113">
        <v>17</v>
      </c>
      <c r="W17" s="112">
        <f>IFERROR((U17/V17)*$Q$17,0)</f>
        <v>0.16176470588235295</v>
      </c>
      <c r="X17" s="27">
        <v>0</v>
      </c>
      <c r="Y17" s="50">
        <v>0</v>
      </c>
      <c r="Z17" s="51">
        <f>IFERROR((X17/Y17)*$Q$17,0)</f>
        <v>0</v>
      </c>
      <c r="AA17" s="27">
        <v>0</v>
      </c>
      <c r="AB17" s="50">
        <v>0</v>
      </c>
      <c r="AC17" s="51">
        <f>IFERROR((AA17/AB17)*$Q$17,0)</f>
        <v>0</v>
      </c>
      <c r="AD17" s="27">
        <v>0</v>
      </c>
      <c r="AE17" s="50">
        <v>0</v>
      </c>
      <c r="AF17" s="51">
        <f>IFERROR((AD17/AE17)*$Q$17,0)</f>
        <v>0</v>
      </c>
      <c r="AG17" s="52">
        <f t="shared" si="0"/>
        <v>0.16176470588235295</v>
      </c>
      <c r="AH17" s="220"/>
      <c r="AI17" s="51" t="s">
        <v>77</v>
      </c>
      <c r="AJ17" s="74" t="s">
        <v>78</v>
      </c>
      <c r="AK17" s="127" t="s">
        <v>523</v>
      </c>
      <c r="AL17" s="107" t="s">
        <v>531</v>
      </c>
      <c r="AM17" s="94"/>
      <c r="AN17" s="97"/>
      <c r="AO17" s="89"/>
      <c r="AP17" s="91"/>
      <c r="AQ17" s="95"/>
      <c r="AR17" s="91"/>
    </row>
    <row r="18" spans="2:44" s="54" customFormat="1" ht="119.25" customHeight="1" thickBot="1" x14ac:dyDescent="0.25">
      <c r="B18" s="44">
        <v>8</v>
      </c>
      <c r="C18" s="45" t="s">
        <v>68</v>
      </c>
      <c r="D18" s="45" t="s">
        <v>69</v>
      </c>
      <c r="E18" s="46" t="s">
        <v>70</v>
      </c>
      <c r="F18" s="45" t="s">
        <v>79</v>
      </c>
      <c r="G18" s="45" t="s">
        <v>72</v>
      </c>
      <c r="H18" s="45" t="s">
        <v>366</v>
      </c>
      <c r="I18" s="45" t="s">
        <v>86</v>
      </c>
      <c r="J18" s="45" t="s">
        <v>87</v>
      </c>
      <c r="K18" s="45" t="s">
        <v>88</v>
      </c>
      <c r="L18" s="45" t="s">
        <v>57</v>
      </c>
      <c r="M18" s="45" t="s">
        <v>83</v>
      </c>
      <c r="N18" s="45">
        <v>896</v>
      </c>
      <c r="O18" s="45" t="s">
        <v>84</v>
      </c>
      <c r="P18" s="47">
        <v>600</v>
      </c>
      <c r="Q18" s="48">
        <v>0.25</v>
      </c>
      <c r="R18" s="45" t="s">
        <v>64</v>
      </c>
      <c r="S18" s="49">
        <v>45658</v>
      </c>
      <c r="T18" s="49">
        <v>46022</v>
      </c>
      <c r="U18" s="110">
        <v>182</v>
      </c>
      <c r="V18" s="113">
        <v>150</v>
      </c>
      <c r="W18" s="112">
        <f>IFERROR((U18/V18)*$Q$18,0)</f>
        <v>0.30333333333333334</v>
      </c>
      <c r="X18" s="27">
        <v>0</v>
      </c>
      <c r="Y18" s="50">
        <v>150</v>
      </c>
      <c r="Z18" s="51">
        <f>IFERROR((X18/Y18)*$Q$18,0)</f>
        <v>0</v>
      </c>
      <c r="AA18" s="27">
        <v>0</v>
      </c>
      <c r="AB18" s="50">
        <v>150</v>
      </c>
      <c r="AC18" s="51">
        <f>IFERROR((AA18/AB18)*$Q$18,0)</f>
        <v>0</v>
      </c>
      <c r="AD18" s="47">
        <v>0</v>
      </c>
      <c r="AE18" s="50">
        <v>150</v>
      </c>
      <c r="AF18" s="51">
        <f>IFERROR((AD18/AE18)*$Q$18,0)</f>
        <v>0</v>
      </c>
      <c r="AG18" s="52">
        <f t="shared" si="0"/>
        <v>0.30333333333333334</v>
      </c>
      <c r="AH18" s="220"/>
      <c r="AI18" s="51" t="s">
        <v>77</v>
      </c>
      <c r="AJ18" s="74" t="s">
        <v>78</v>
      </c>
      <c r="AK18" s="127" t="s">
        <v>526</v>
      </c>
      <c r="AL18" s="107" t="s">
        <v>527</v>
      </c>
      <c r="AM18" s="94"/>
      <c r="AN18" s="90"/>
      <c r="AO18" s="89"/>
      <c r="AP18" s="91"/>
      <c r="AQ18" s="95"/>
      <c r="AR18" s="91"/>
    </row>
    <row r="19" spans="2:44" s="54" customFormat="1" ht="170.25" customHeight="1" thickBot="1" x14ac:dyDescent="0.25">
      <c r="B19" s="44">
        <v>9</v>
      </c>
      <c r="C19" s="45" t="s">
        <v>89</v>
      </c>
      <c r="D19" s="45" t="s">
        <v>90</v>
      </c>
      <c r="E19" s="46" t="s">
        <v>91</v>
      </c>
      <c r="F19" s="45" t="s">
        <v>92</v>
      </c>
      <c r="G19" s="45" t="s">
        <v>93</v>
      </c>
      <c r="H19" s="45" t="s">
        <v>94</v>
      </c>
      <c r="I19" s="45" t="s">
        <v>328</v>
      </c>
      <c r="J19" s="45" t="s">
        <v>95</v>
      </c>
      <c r="K19" s="45" t="s">
        <v>329</v>
      </c>
      <c r="L19" s="45" t="s">
        <v>57</v>
      </c>
      <c r="M19" s="45" t="s">
        <v>52</v>
      </c>
      <c r="N19" s="45">
        <v>3923</v>
      </c>
      <c r="O19" s="45" t="s">
        <v>96</v>
      </c>
      <c r="P19" s="63">
        <v>0.2</v>
      </c>
      <c r="Q19" s="48" t="s">
        <v>85</v>
      </c>
      <c r="R19" s="45" t="s">
        <v>64</v>
      </c>
      <c r="S19" s="49">
        <v>45658</v>
      </c>
      <c r="T19" s="49">
        <v>46022</v>
      </c>
      <c r="U19" s="114">
        <v>1808</v>
      </c>
      <c r="V19" s="113">
        <v>1553</v>
      </c>
      <c r="W19" s="112">
        <f>IFERROR((U19/V19)*0.25,0)</f>
        <v>0.2910495814552479</v>
      </c>
      <c r="X19" s="47">
        <v>0</v>
      </c>
      <c r="Y19" s="50">
        <v>50</v>
      </c>
      <c r="Z19" s="51">
        <f>IFERROR((X19/Y19)*0.25,0)</f>
        <v>0</v>
      </c>
      <c r="AA19" s="47">
        <v>0</v>
      </c>
      <c r="AB19" s="50">
        <v>50</v>
      </c>
      <c r="AC19" s="51">
        <f>IFERROR((AA19/AB19)*0.25,0)</f>
        <v>0</v>
      </c>
      <c r="AD19" s="47">
        <v>0</v>
      </c>
      <c r="AE19" s="50">
        <v>2347</v>
      </c>
      <c r="AF19" s="51">
        <f>IFERROR((AD19/AE19)*0.25,0)</f>
        <v>0</v>
      </c>
      <c r="AG19" s="52">
        <f t="shared" si="0"/>
        <v>0.2910495814552479</v>
      </c>
      <c r="AH19" s="221">
        <f>AVERAGE(AG19:AG21)</f>
        <v>0.1768776382628604</v>
      </c>
      <c r="AI19" s="51" t="s">
        <v>77</v>
      </c>
      <c r="AJ19" s="74" t="s">
        <v>78</v>
      </c>
      <c r="AK19" s="127" t="s">
        <v>440</v>
      </c>
      <c r="AL19" s="107" t="s">
        <v>528</v>
      </c>
      <c r="AM19" s="89"/>
      <c r="AN19" s="90"/>
      <c r="AO19" s="94"/>
      <c r="AP19" s="91"/>
      <c r="AQ19" s="94"/>
      <c r="AR19" s="98"/>
    </row>
    <row r="20" spans="2:44" s="54" customFormat="1" ht="165" customHeight="1" thickBot="1" x14ac:dyDescent="0.25">
      <c r="B20" s="44">
        <v>10</v>
      </c>
      <c r="C20" s="45" t="s">
        <v>89</v>
      </c>
      <c r="D20" s="45" t="s">
        <v>90</v>
      </c>
      <c r="E20" s="46" t="s">
        <v>91</v>
      </c>
      <c r="F20" s="45" t="s">
        <v>92</v>
      </c>
      <c r="G20" s="45" t="s">
        <v>97</v>
      </c>
      <c r="H20" s="45" t="s">
        <v>98</v>
      </c>
      <c r="I20" s="45" t="s">
        <v>330</v>
      </c>
      <c r="J20" s="45" t="s">
        <v>331</v>
      </c>
      <c r="K20" s="45" t="s">
        <v>332</v>
      </c>
      <c r="L20" s="45" t="s">
        <v>51</v>
      </c>
      <c r="M20" s="45" t="s">
        <v>52</v>
      </c>
      <c r="N20" s="45">
        <v>94</v>
      </c>
      <c r="O20" s="45" t="s">
        <v>96</v>
      </c>
      <c r="P20" s="47">
        <v>100</v>
      </c>
      <c r="Q20" s="48">
        <v>0.25</v>
      </c>
      <c r="R20" s="45" t="s">
        <v>64</v>
      </c>
      <c r="S20" s="49">
        <v>45658</v>
      </c>
      <c r="T20" s="49">
        <v>46022</v>
      </c>
      <c r="U20" s="114">
        <v>23</v>
      </c>
      <c r="V20" s="113">
        <v>24</v>
      </c>
      <c r="W20" s="112">
        <f>IFERROR((U20/V20)*$Q$20,0)</f>
        <v>0.23958333333333334</v>
      </c>
      <c r="X20" s="47">
        <v>0</v>
      </c>
      <c r="Y20" s="50">
        <v>30</v>
      </c>
      <c r="Z20" s="51">
        <f>IFERROR((X20/Y20)*$Q$20,0)</f>
        <v>0</v>
      </c>
      <c r="AA20" s="47">
        <v>0</v>
      </c>
      <c r="AB20" s="50">
        <v>30</v>
      </c>
      <c r="AC20" s="51">
        <f>IFERROR((AA20/AB20)*$Q$20,0)</f>
        <v>0</v>
      </c>
      <c r="AD20" s="47">
        <v>0</v>
      </c>
      <c r="AE20" s="50">
        <v>16</v>
      </c>
      <c r="AF20" s="51">
        <f>IFERROR((AD20/AE20)*$Q$20,0)</f>
        <v>0</v>
      </c>
      <c r="AG20" s="52">
        <f t="shared" si="0"/>
        <v>0.23958333333333334</v>
      </c>
      <c r="AH20" s="221"/>
      <c r="AI20" s="51" t="s">
        <v>77</v>
      </c>
      <c r="AJ20" s="74" t="s">
        <v>78</v>
      </c>
      <c r="AK20" s="127" t="s">
        <v>441</v>
      </c>
      <c r="AL20" s="107" t="s">
        <v>529</v>
      </c>
      <c r="AM20" s="89"/>
      <c r="AN20" s="90"/>
      <c r="AO20" s="94"/>
      <c r="AP20" s="91"/>
      <c r="AQ20" s="99"/>
      <c r="AR20" s="98"/>
    </row>
    <row r="21" spans="2:44" s="54" customFormat="1" ht="135" customHeight="1" thickBot="1" x14ac:dyDescent="0.25">
      <c r="B21" s="44">
        <v>11</v>
      </c>
      <c r="C21" s="45" t="s">
        <v>89</v>
      </c>
      <c r="D21" s="45" t="s">
        <v>90</v>
      </c>
      <c r="E21" s="46" t="s">
        <v>91</v>
      </c>
      <c r="F21" s="45" t="s">
        <v>92</v>
      </c>
      <c r="G21" s="45" t="s">
        <v>93</v>
      </c>
      <c r="H21" s="45" t="s">
        <v>99</v>
      </c>
      <c r="I21" s="45" t="s">
        <v>100</v>
      </c>
      <c r="J21" s="45" t="s">
        <v>333</v>
      </c>
      <c r="K21" s="45" t="s">
        <v>334</v>
      </c>
      <c r="L21" s="45" t="s">
        <v>51</v>
      </c>
      <c r="M21" s="45" t="s">
        <v>52</v>
      </c>
      <c r="N21" s="45">
        <v>49</v>
      </c>
      <c r="O21" s="45" t="s">
        <v>96</v>
      </c>
      <c r="P21" s="47">
        <v>48</v>
      </c>
      <c r="Q21" s="48">
        <v>0.5</v>
      </c>
      <c r="R21" s="45" t="s">
        <v>101</v>
      </c>
      <c r="S21" s="49">
        <v>45658</v>
      </c>
      <c r="T21" s="49">
        <v>46022</v>
      </c>
      <c r="U21" s="114" t="s">
        <v>265</v>
      </c>
      <c r="V21" s="114" t="s">
        <v>265</v>
      </c>
      <c r="W21" s="112" t="s">
        <v>54</v>
      </c>
      <c r="X21" s="47">
        <v>0</v>
      </c>
      <c r="Y21" s="50">
        <v>48</v>
      </c>
      <c r="Z21" s="51">
        <f>IFERROR((X21/Y21)*$Q$21,0)</f>
        <v>0</v>
      </c>
      <c r="AA21" s="47" t="s">
        <v>265</v>
      </c>
      <c r="AB21" s="47" t="s">
        <v>265</v>
      </c>
      <c r="AC21" s="51" t="s">
        <v>54</v>
      </c>
      <c r="AD21" s="47">
        <v>0</v>
      </c>
      <c r="AE21" s="50">
        <v>48</v>
      </c>
      <c r="AF21" s="51">
        <f>IFERROR((AD21/AE21)*$Q$21,0)</f>
        <v>0</v>
      </c>
      <c r="AG21" s="52">
        <f>Z21+AF21</f>
        <v>0</v>
      </c>
      <c r="AH21" s="221"/>
      <c r="AI21" s="51" t="s">
        <v>77</v>
      </c>
      <c r="AJ21" s="74" t="s">
        <v>78</v>
      </c>
      <c r="AK21" s="127" t="s">
        <v>442</v>
      </c>
      <c r="AL21" s="107" t="s">
        <v>530</v>
      </c>
      <c r="AM21" s="89"/>
      <c r="AN21" s="90"/>
      <c r="AO21" s="94"/>
      <c r="AP21" s="91"/>
      <c r="AQ21" s="100"/>
      <c r="AR21" s="91"/>
    </row>
    <row r="22" spans="2:44" s="54" customFormat="1" ht="145.5" customHeight="1" thickBot="1" x14ac:dyDescent="0.25">
      <c r="B22" s="44">
        <v>12</v>
      </c>
      <c r="C22" s="45" t="s">
        <v>89</v>
      </c>
      <c r="D22" s="45" t="s">
        <v>90</v>
      </c>
      <c r="E22" s="46" t="s">
        <v>102</v>
      </c>
      <c r="F22" s="45" t="s">
        <v>423</v>
      </c>
      <c r="G22" s="45" t="s">
        <v>103</v>
      </c>
      <c r="H22" s="45" t="s">
        <v>104</v>
      </c>
      <c r="I22" s="45" t="s">
        <v>105</v>
      </c>
      <c r="J22" s="45" t="s">
        <v>106</v>
      </c>
      <c r="K22" s="45" t="s">
        <v>107</v>
      </c>
      <c r="L22" s="45" t="s">
        <v>57</v>
      </c>
      <c r="M22" s="45" t="s">
        <v>52</v>
      </c>
      <c r="N22" s="45" t="s">
        <v>54</v>
      </c>
      <c r="O22" s="45" t="s">
        <v>108</v>
      </c>
      <c r="P22" s="47">
        <v>1500</v>
      </c>
      <c r="Q22" s="48" t="s">
        <v>85</v>
      </c>
      <c r="R22" s="45" t="s">
        <v>64</v>
      </c>
      <c r="S22" s="49">
        <v>45658</v>
      </c>
      <c r="T22" s="49">
        <v>46022</v>
      </c>
      <c r="U22" s="114">
        <v>152</v>
      </c>
      <c r="V22" s="113">
        <v>100</v>
      </c>
      <c r="W22" s="112">
        <f>(U22/$P$22)</f>
        <v>0.10133333333333333</v>
      </c>
      <c r="X22" s="47">
        <v>0</v>
      </c>
      <c r="Y22" s="50">
        <v>550</v>
      </c>
      <c r="Z22" s="51">
        <f>(X22/$P$22)</f>
        <v>0</v>
      </c>
      <c r="AA22" s="47">
        <v>0</v>
      </c>
      <c r="AB22" s="50">
        <v>550</v>
      </c>
      <c r="AC22" s="51">
        <f>(AA22/$P$22)</f>
        <v>0</v>
      </c>
      <c r="AD22" s="47">
        <v>0</v>
      </c>
      <c r="AE22" s="50">
        <v>300</v>
      </c>
      <c r="AF22" s="51">
        <f>(AD22/$P$22)</f>
        <v>0</v>
      </c>
      <c r="AG22" s="52">
        <f t="shared" ref="AG22:AG36" si="1">+W22+Z22+AC22+AF22</f>
        <v>0.10133333333333333</v>
      </c>
      <c r="AH22" s="220">
        <f>AVERAGE(AG22:AG24)</f>
        <v>0.20044444444444443</v>
      </c>
      <c r="AI22" s="51" t="s">
        <v>77</v>
      </c>
      <c r="AJ22" s="74" t="s">
        <v>78</v>
      </c>
      <c r="AK22" s="127" t="s">
        <v>443</v>
      </c>
      <c r="AL22" s="107" t="s">
        <v>446</v>
      </c>
      <c r="AM22" s="89"/>
      <c r="AN22" s="97"/>
      <c r="AO22" s="94"/>
      <c r="AP22" s="91"/>
      <c r="AQ22" s="99"/>
      <c r="AR22" s="91"/>
    </row>
    <row r="23" spans="2:44" s="54" customFormat="1" ht="148.5" customHeight="1" thickBot="1" x14ac:dyDescent="0.25">
      <c r="B23" s="44">
        <v>13</v>
      </c>
      <c r="C23" s="45" t="s">
        <v>89</v>
      </c>
      <c r="D23" s="45" t="s">
        <v>90</v>
      </c>
      <c r="E23" s="46" t="s">
        <v>102</v>
      </c>
      <c r="F23" s="45" t="s">
        <v>424</v>
      </c>
      <c r="G23" s="45" t="s">
        <v>103</v>
      </c>
      <c r="H23" s="45" t="s">
        <v>109</v>
      </c>
      <c r="I23" s="45" t="s">
        <v>110</v>
      </c>
      <c r="J23" s="45" t="s">
        <v>111</v>
      </c>
      <c r="K23" s="45" t="s">
        <v>335</v>
      </c>
      <c r="L23" s="45" t="s">
        <v>51</v>
      </c>
      <c r="M23" s="45" t="s">
        <v>52</v>
      </c>
      <c r="N23" s="45" t="s">
        <v>54</v>
      </c>
      <c r="O23" s="45" t="s">
        <v>54</v>
      </c>
      <c r="P23" s="48">
        <v>1</v>
      </c>
      <c r="Q23" s="48">
        <v>0.25</v>
      </c>
      <c r="R23" s="45" t="s">
        <v>64</v>
      </c>
      <c r="S23" s="49">
        <v>45658</v>
      </c>
      <c r="T23" s="49">
        <v>46022</v>
      </c>
      <c r="U23" s="115">
        <v>10</v>
      </c>
      <c r="V23" s="115">
        <v>10</v>
      </c>
      <c r="W23" s="116">
        <f>IFERROR((U23/V23)*$Q$23,0)</f>
        <v>0.25</v>
      </c>
      <c r="X23" s="47">
        <v>0</v>
      </c>
      <c r="Y23" s="64">
        <v>0</v>
      </c>
      <c r="Z23" s="65">
        <f>IFERROR((X23/Y23)*$Q$23,0)</f>
        <v>0</v>
      </c>
      <c r="AA23" s="47">
        <v>0</v>
      </c>
      <c r="AB23" s="64">
        <v>0</v>
      </c>
      <c r="AC23" s="65">
        <f>IFERROR((AA23/AB23)*$Q$23,0)</f>
        <v>0</v>
      </c>
      <c r="AD23" s="47">
        <v>0</v>
      </c>
      <c r="AE23" s="64">
        <v>0</v>
      </c>
      <c r="AF23" s="65">
        <f>IFERROR((AD23/AE23)*$Q$23,0)</f>
        <v>0</v>
      </c>
      <c r="AG23" s="52">
        <f t="shared" si="1"/>
        <v>0.25</v>
      </c>
      <c r="AH23" s="226"/>
      <c r="AI23" s="51" t="s">
        <v>77</v>
      </c>
      <c r="AJ23" s="74" t="s">
        <v>78</v>
      </c>
      <c r="AK23" s="126" t="s">
        <v>444</v>
      </c>
      <c r="AL23" s="107" t="s">
        <v>447</v>
      </c>
      <c r="AM23" s="89"/>
      <c r="AN23" s="97"/>
      <c r="AO23" s="101"/>
      <c r="AP23" s="91"/>
      <c r="AQ23" s="99"/>
      <c r="AR23" s="91"/>
    </row>
    <row r="24" spans="2:44" s="54" customFormat="1" ht="180.75" customHeight="1" thickBot="1" x14ac:dyDescent="0.25">
      <c r="B24" s="44">
        <v>14</v>
      </c>
      <c r="C24" s="45" t="s">
        <v>89</v>
      </c>
      <c r="D24" s="45" t="s">
        <v>90</v>
      </c>
      <c r="E24" s="46" t="s">
        <v>102</v>
      </c>
      <c r="F24" s="45" t="s">
        <v>425</v>
      </c>
      <c r="G24" s="45" t="s">
        <v>103</v>
      </c>
      <c r="H24" s="45" t="s">
        <v>112</v>
      </c>
      <c r="I24" s="45" t="s">
        <v>113</v>
      </c>
      <c r="J24" s="45" t="s">
        <v>114</v>
      </c>
      <c r="K24" s="45" t="s">
        <v>336</v>
      </c>
      <c r="L24" s="45" t="s">
        <v>51</v>
      </c>
      <c r="M24" s="45" t="s">
        <v>52</v>
      </c>
      <c r="N24" s="45" t="s">
        <v>54</v>
      </c>
      <c r="O24" s="45" t="s">
        <v>54</v>
      </c>
      <c r="P24" s="48">
        <v>1</v>
      </c>
      <c r="Q24" s="48">
        <v>0.25</v>
      </c>
      <c r="R24" s="45" t="s">
        <v>64</v>
      </c>
      <c r="S24" s="49">
        <v>45658</v>
      </c>
      <c r="T24" s="49">
        <v>46022</v>
      </c>
      <c r="U24" s="115">
        <v>142</v>
      </c>
      <c r="V24" s="115">
        <v>142</v>
      </c>
      <c r="W24" s="116">
        <f>IFERROR((U24/V24)*$Q$24,0)</f>
        <v>0.25</v>
      </c>
      <c r="X24" s="47">
        <v>0</v>
      </c>
      <c r="Y24" s="50">
        <v>0</v>
      </c>
      <c r="Z24" s="65">
        <f>IFERROR((X24/Y24)*$Q$24,0)</f>
        <v>0</v>
      </c>
      <c r="AA24" s="47">
        <v>0</v>
      </c>
      <c r="AB24" s="50">
        <v>0</v>
      </c>
      <c r="AC24" s="65">
        <f>IFERROR((AA24/AB24)*$Q$24,0)</f>
        <v>0</v>
      </c>
      <c r="AD24" s="47">
        <v>0</v>
      </c>
      <c r="AE24" s="50">
        <v>0</v>
      </c>
      <c r="AF24" s="65">
        <f>IFERROR((AD24/AE24)*$Q$24,0)</f>
        <v>0</v>
      </c>
      <c r="AG24" s="52">
        <f t="shared" si="1"/>
        <v>0.25</v>
      </c>
      <c r="AH24" s="227"/>
      <c r="AI24" s="51" t="s">
        <v>77</v>
      </c>
      <c r="AJ24" s="74" t="s">
        <v>78</v>
      </c>
      <c r="AK24" s="126" t="s">
        <v>445</v>
      </c>
      <c r="AL24" s="107" t="s">
        <v>448</v>
      </c>
      <c r="AM24" s="89"/>
      <c r="AN24" s="97"/>
      <c r="AO24" s="101"/>
      <c r="AP24" s="91"/>
      <c r="AQ24" s="99"/>
      <c r="AR24" s="91"/>
    </row>
    <row r="25" spans="2:44" s="54" customFormat="1" ht="156.75" customHeight="1" thickBot="1" x14ac:dyDescent="0.25">
      <c r="B25" s="44">
        <v>15</v>
      </c>
      <c r="C25" s="45" t="s">
        <v>89</v>
      </c>
      <c r="D25" s="45" t="s">
        <v>90</v>
      </c>
      <c r="E25" s="46" t="s">
        <v>102</v>
      </c>
      <c r="F25" s="45" t="s">
        <v>426</v>
      </c>
      <c r="G25" s="45" t="s">
        <v>115</v>
      </c>
      <c r="H25" s="45" t="s">
        <v>284</v>
      </c>
      <c r="I25" s="45" t="s">
        <v>116</v>
      </c>
      <c r="J25" s="45" t="s">
        <v>117</v>
      </c>
      <c r="K25" s="45" t="s">
        <v>118</v>
      </c>
      <c r="L25" s="45" t="s">
        <v>51</v>
      </c>
      <c r="M25" s="45" t="s">
        <v>119</v>
      </c>
      <c r="N25" s="66">
        <v>0.31</v>
      </c>
      <c r="O25" s="45" t="s">
        <v>120</v>
      </c>
      <c r="P25" s="55" t="s">
        <v>285</v>
      </c>
      <c r="Q25" s="48">
        <v>0.25</v>
      </c>
      <c r="R25" s="45" t="s">
        <v>64</v>
      </c>
      <c r="S25" s="49">
        <v>45658</v>
      </c>
      <c r="T25" s="49">
        <v>46022</v>
      </c>
      <c r="U25" s="129">
        <v>0.33</v>
      </c>
      <c r="V25" s="111">
        <v>0.28999999999999998</v>
      </c>
      <c r="W25" s="112">
        <f>IF(OR(U25=0, V25=0), "0", IF(U25&lt;=V25, $Q$25, MAX(0, $Q$25 * (1 - ((U25 - V25) / V25)))))</f>
        <v>0.2155172413793103</v>
      </c>
      <c r="X25" s="67">
        <v>0</v>
      </c>
      <c r="Y25" s="63">
        <v>0.28999999999999998</v>
      </c>
      <c r="Z25" s="51" t="str">
        <f>IF(OR(X25=0, Y25=0), "0", IF(X25&lt;=Y25, $Q$25, MAX(0, $Q$25 * (1 - ((X25 - Y25) / Y25)))))</f>
        <v>0</v>
      </c>
      <c r="AA25" s="63">
        <v>0</v>
      </c>
      <c r="AB25" s="63">
        <v>0.28999999999999998</v>
      </c>
      <c r="AC25" s="51" t="str">
        <f>IF(OR(AA25=0, AB25=0), "0", IF(AA25&lt;=AB25, $Q$25, MAX(0, $Q$25 * (1 - ((AA25 - AB25) / AB25)))))</f>
        <v>0</v>
      </c>
      <c r="AD25" s="63">
        <v>0</v>
      </c>
      <c r="AE25" s="63">
        <v>0.28999999999999998</v>
      </c>
      <c r="AF25" s="51" t="str">
        <f>IF(OR(AD25=0, AE25=0), "0", IF(AD25&lt;=AE25, $Q$25, MAX(0, $Q$25 * (1 - ((AD25 - AE25) / AE25)))))</f>
        <v>0</v>
      </c>
      <c r="AG25" s="52">
        <f>AF25+AC25+Z25+W25</f>
        <v>0.2155172413793103</v>
      </c>
      <c r="AH25" s="220">
        <f>AVERAGE(AG25:AG28)</f>
        <v>0.24137931034482757</v>
      </c>
      <c r="AI25" s="51" t="s">
        <v>77</v>
      </c>
      <c r="AJ25" s="74" t="s">
        <v>78</v>
      </c>
      <c r="AK25" s="126" t="s">
        <v>449</v>
      </c>
      <c r="AL25" s="107" t="s">
        <v>453</v>
      </c>
      <c r="AM25" s="102"/>
      <c r="AN25" s="97"/>
      <c r="AO25" s="94"/>
      <c r="AP25" s="91"/>
      <c r="AQ25" s="94"/>
      <c r="AR25" s="91"/>
    </row>
    <row r="26" spans="2:44" s="54" customFormat="1" ht="135" customHeight="1" thickBot="1" x14ac:dyDescent="0.25">
      <c r="B26" s="44">
        <v>16</v>
      </c>
      <c r="C26" s="45" t="s">
        <v>89</v>
      </c>
      <c r="D26" s="45" t="s">
        <v>90</v>
      </c>
      <c r="E26" s="46" t="s">
        <v>102</v>
      </c>
      <c r="F26" s="45" t="s">
        <v>427</v>
      </c>
      <c r="G26" s="45" t="s">
        <v>121</v>
      </c>
      <c r="H26" s="45" t="s">
        <v>337</v>
      </c>
      <c r="I26" s="45" t="s">
        <v>338</v>
      </c>
      <c r="J26" s="45" t="s">
        <v>339</v>
      </c>
      <c r="K26" s="45" t="s">
        <v>340</v>
      </c>
      <c r="L26" s="45" t="s">
        <v>51</v>
      </c>
      <c r="M26" s="45" t="s">
        <v>119</v>
      </c>
      <c r="N26" s="45" t="s">
        <v>54</v>
      </c>
      <c r="O26" s="45" t="s">
        <v>54</v>
      </c>
      <c r="P26" s="27" t="s">
        <v>364</v>
      </c>
      <c r="Q26" s="48">
        <v>0.25</v>
      </c>
      <c r="R26" s="45" t="s">
        <v>64</v>
      </c>
      <c r="S26" s="49">
        <v>45658</v>
      </c>
      <c r="T26" s="49">
        <v>46022</v>
      </c>
      <c r="U26" s="130">
        <f>9391292552.52/9419676127.52</f>
        <v>0.99698677803612845</v>
      </c>
      <c r="V26" s="111">
        <v>0.95</v>
      </c>
      <c r="W26" s="112">
        <f>IF(U26&gt;=V26, Q26, Q26 * (U26 / V26))</f>
        <v>0.25</v>
      </c>
      <c r="X26" s="68">
        <v>0</v>
      </c>
      <c r="Y26" s="68">
        <v>0</v>
      </c>
      <c r="Z26" s="51">
        <f>IFERROR((X26/Y26)*$Q$26, 0)</f>
        <v>0</v>
      </c>
      <c r="AA26" s="47">
        <v>0</v>
      </c>
      <c r="AB26" s="50">
        <v>0</v>
      </c>
      <c r="AC26" s="51">
        <f>IFERROR((AA26/AB26)*$Q$26, 0)</f>
        <v>0</v>
      </c>
      <c r="AD26" s="47">
        <v>0</v>
      </c>
      <c r="AE26" s="50">
        <v>0</v>
      </c>
      <c r="AF26" s="51">
        <f>IFERROR((AD26/AE26)*$Q$26, 0)</f>
        <v>0</v>
      </c>
      <c r="AG26" s="52">
        <f t="shared" si="1"/>
        <v>0.25</v>
      </c>
      <c r="AH26" s="226"/>
      <c r="AI26" s="51" t="s">
        <v>77</v>
      </c>
      <c r="AJ26" s="74" t="s">
        <v>78</v>
      </c>
      <c r="AK26" s="127" t="s">
        <v>452</v>
      </c>
      <c r="AL26" s="107" t="s">
        <v>454</v>
      </c>
      <c r="AM26" s="102"/>
      <c r="AN26" s="97"/>
      <c r="AO26" s="94"/>
      <c r="AP26" s="91"/>
      <c r="AQ26" s="94"/>
      <c r="AR26" s="91"/>
    </row>
    <row r="27" spans="2:44" s="54" customFormat="1" ht="129" customHeight="1" thickBot="1" x14ac:dyDescent="0.25">
      <c r="B27" s="44">
        <v>17</v>
      </c>
      <c r="C27" s="45" t="s">
        <v>89</v>
      </c>
      <c r="D27" s="45" t="s">
        <v>90</v>
      </c>
      <c r="E27" s="46" t="s">
        <v>102</v>
      </c>
      <c r="F27" s="45" t="s">
        <v>427</v>
      </c>
      <c r="G27" s="45" t="s">
        <v>121</v>
      </c>
      <c r="H27" s="45" t="s">
        <v>122</v>
      </c>
      <c r="I27" s="45" t="s">
        <v>123</v>
      </c>
      <c r="J27" s="45" t="s">
        <v>124</v>
      </c>
      <c r="K27" s="45" t="s">
        <v>286</v>
      </c>
      <c r="L27" s="45" t="s">
        <v>51</v>
      </c>
      <c r="M27" s="45" t="s">
        <v>119</v>
      </c>
      <c r="N27" s="69">
        <v>3.3000000000000002E-2</v>
      </c>
      <c r="O27" s="45" t="s">
        <v>120</v>
      </c>
      <c r="P27" s="55" t="s">
        <v>287</v>
      </c>
      <c r="Q27" s="48">
        <v>0.25</v>
      </c>
      <c r="R27" s="45" t="s">
        <v>64</v>
      </c>
      <c r="S27" s="49">
        <v>45658</v>
      </c>
      <c r="T27" s="49">
        <v>46022</v>
      </c>
      <c r="U27" s="117">
        <f>3534517609/151954013742</f>
        <v>2.3260442563900908E-2</v>
      </c>
      <c r="V27" s="111">
        <v>0.03</v>
      </c>
      <c r="W27" s="112">
        <f>IF(OR(U27="",U27=0),0,IF(U27&lt;=V27,$Q$27,MAX(0,$Q$27*(1-((U27-V27)/V27)))))</f>
        <v>0.25</v>
      </c>
      <c r="X27" s="70">
        <v>0</v>
      </c>
      <c r="Y27" s="63">
        <v>0.03</v>
      </c>
      <c r="Z27" s="51">
        <f>IF(OR(X27="",X27=0),0,IF(X27&lt;=Y27,$Q$27,MAX(0,$Q$27*(1-((X27-Y27)/Y27)))))</f>
        <v>0</v>
      </c>
      <c r="AA27" s="71">
        <v>0</v>
      </c>
      <c r="AB27" s="63">
        <v>0.03</v>
      </c>
      <c r="AC27" s="51">
        <f>IF(OR(AA27="",AA27=0),0,IF(AA27&lt;=AB27,$Q$27,MAX(0,$Q$27*(1-((AA27-AB27)/AB27)))))</f>
        <v>0</v>
      </c>
      <c r="AD27" s="71">
        <v>0</v>
      </c>
      <c r="AE27" s="63">
        <v>0.03</v>
      </c>
      <c r="AF27" s="51">
        <f>IF(OR(AD27="",AD27=0),0,IF(AD27&lt;=AE27,$Q$27,MAX(0,$Q$27*(1-((AD27-AE27)/AE27)))))</f>
        <v>0</v>
      </c>
      <c r="AG27" s="52">
        <f t="shared" si="1"/>
        <v>0.25</v>
      </c>
      <c r="AH27" s="226"/>
      <c r="AI27" s="51" t="s">
        <v>77</v>
      </c>
      <c r="AJ27" s="74" t="s">
        <v>78</v>
      </c>
      <c r="AK27" s="127" t="s">
        <v>450</v>
      </c>
      <c r="AL27" s="107" t="s">
        <v>455</v>
      </c>
      <c r="AM27" s="102"/>
      <c r="AN27" s="97"/>
      <c r="AO27" s="94"/>
      <c r="AP27" s="91"/>
      <c r="AQ27" s="94"/>
      <c r="AR27" s="91"/>
    </row>
    <row r="28" spans="2:44" s="54" customFormat="1" ht="145.5" customHeight="1" thickBot="1" x14ac:dyDescent="0.25">
      <c r="B28" s="44">
        <v>18</v>
      </c>
      <c r="C28" s="45" t="s">
        <v>89</v>
      </c>
      <c r="D28" s="45" t="s">
        <v>90</v>
      </c>
      <c r="E28" s="46" t="s">
        <v>102</v>
      </c>
      <c r="F28" s="45" t="s">
        <v>427</v>
      </c>
      <c r="G28" s="45" t="s">
        <v>121</v>
      </c>
      <c r="H28" s="45" t="s">
        <v>125</v>
      </c>
      <c r="I28" s="45" t="s">
        <v>126</v>
      </c>
      <c r="J28" s="45" t="s">
        <v>127</v>
      </c>
      <c r="K28" s="45" t="s">
        <v>288</v>
      </c>
      <c r="L28" s="45" t="s">
        <v>51</v>
      </c>
      <c r="M28" s="45" t="s">
        <v>119</v>
      </c>
      <c r="N28" s="69">
        <v>3.3000000000000002E-2</v>
      </c>
      <c r="O28" s="45" t="s">
        <v>120</v>
      </c>
      <c r="P28" s="55" t="s">
        <v>287</v>
      </c>
      <c r="Q28" s="48">
        <v>0.25</v>
      </c>
      <c r="R28" s="45" t="s">
        <v>64</v>
      </c>
      <c r="S28" s="49">
        <v>45658</v>
      </c>
      <c r="T28" s="49">
        <v>46022</v>
      </c>
      <c r="U28" s="117">
        <f>4322502732/151954013742</f>
        <v>2.8446124097380541E-2</v>
      </c>
      <c r="V28" s="111">
        <v>0.03</v>
      </c>
      <c r="W28" s="112">
        <f>IF(OR(U28="",U28=0),0,IF(U28&lt;=V28,$Q$28,MAX(0,$Q$28*(1-((U28-V28)/V28)))))</f>
        <v>0.25</v>
      </c>
      <c r="X28" s="70">
        <v>0</v>
      </c>
      <c r="Y28" s="63">
        <v>0.03</v>
      </c>
      <c r="Z28" s="51">
        <f>IF(OR(X28="",X28=0),0,IF(X28&lt;=Y28,$Q$28,MAX(0,$Q$28*(1-((X28-Y28)/Y28)))))</f>
        <v>0</v>
      </c>
      <c r="AA28" s="63">
        <v>0</v>
      </c>
      <c r="AB28" s="63">
        <v>0.03</v>
      </c>
      <c r="AC28" s="51">
        <f>IF(OR(AA28="",AA28=0),0,IF(AA28&lt;=AB28,$Q$28,MAX(0,$Q$28*(1-((AA28-AB28)/AB28)))))</f>
        <v>0</v>
      </c>
      <c r="AD28" s="63">
        <v>0</v>
      </c>
      <c r="AE28" s="63">
        <v>0.03</v>
      </c>
      <c r="AF28" s="51">
        <f>IF(OR(AD28="",AD28=0),0,IF(AD28&lt;=AE28,$Q$28,MAX(0,$Q$28*(1-((AD28-AE28)/AE28)))))</f>
        <v>0</v>
      </c>
      <c r="AG28" s="52">
        <f t="shared" si="1"/>
        <v>0.25</v>
      </c>
      <c r="AH28" s="227"/>
      <c r="AI28" s="51" t="s">
        <v>77</v>
      </c>
      <c r="AJ28" s="74" t="s">
        <v>78</v>
      </c>
      <c r="AK28" s="127" t="s">
        <v>451</v>
      </c>
      <c r="AL28" s="107" t="s">
        <v>456</v>
      </c>
      <c r="AM28" s="102"/>
      <c r="AN28" s="97"/>
      <c r="AO28" s="94"/>
      <c r="AP28" s="91"/>
      <c r="AQ28" s="94"/>
      <c r="AR28" s="91"/>
    </row>
    <row r="29" spans="2:44" s="76" customFormat="1" ht="238.5" customHeight="1" thickBot="1" x14ac:dyDescent="0.25">
      <c r="B29" s="24">
        <v>19</v>
      </c>
      <c r="C29" s="25" t="s">
        <v>128</v>
      </c>
      <c r="D29" s="25" t="s">
        <v>129</v>
      </c>
      <c r="E29" s="26" t="s">
        <v>130</v>
      </c>
      <c r="F29" s="25" t="s">
        <v>131</v>
      </c>
      <c r="G29" s="25" t="s">
        <v>132</v>
      </c>
      <c r="H29" s="25" t="s">
        <v>133</v>
      </c>
      <c r="I29" s="25" t="s">
        <v>400</v>
      </c>
      <c r="J29" s="25" t="s">
        <v>401</v>
      </c>
      <c r="K29" s="25" t="s">
        <v>402</v>
      </c>
      <c r="L29" s="25" t="s">
        <v>51</v>
      </c>
      <c r="M29" s="25" t="s">
        <v>63</v>
      </c>
      <c r="N29" s="25" t="s">
        <v>54</v>
      </c>
      <c r="O29" s="25" t="s">
        <v>403</v>
      </c>
      <c r="P29" s="27" t="s">
        <v>364</v>
      </c>
      <c r="Q29" s="28">
        <v>0.25</v>
      </c>
      <c r="R29" s="25" t="s">
        <v>64</v>
      </c>
      <c r="S29" s="49">
        <v>45658</v>
      </c>
      <c r="T29" s="49">
        <v>46022</v>
      </c>
      <c r="U29" s="110">
        <v>17</v>
      </c>
      <c r="V29" s="108">
        <v>31</v>
      </c>
      <c r="W29" s="109">
        <f>IFERROR((U29/V29)*$Q$29,0)</f>
        <v>0.13709677419354838</v>
      </c>
      <c r="X29" s="27">
        <v>0</v>
      </c>
      <c r="Y29" s="30">
        <v>0</v>
      </c>
      <c r="Z29" s="31">
        <f>IFERROR((X29/Y29)*$Q$29,0)</f>
        <v>0</v>
      </c>
      <c r="AA29" s="27">
        <v>0</v>
      </c>
      <c r="AB29" s="30">
        <v>0</v>
      </c>
      <c r="AC29" s="31">
        <f>IFERROR((AA29/AB29)*$Q$29,0)</f>
        <v>0</v>
      </c>
      <c r="AD29" s="27">
        <v>0</v>
      </c>
      <c r="AE29" s="30">
        <v>0</v>
      </c>
      <c r="AF29" s="31">
        <f>IFERROR((AD29/AE29)*$Q$29,0)</f>
        <v>0</v>
      </c>
      <c r="AG29" s="32">
        <f t="shared" si="1"/>
        <v>0.13709677419354838</v>
      </c>
      <c r="AH29" s="222">
        <f>+(AG29+AG30+AG31)/3</f>
        <v>0.21236559139784947</v>
      </c>
      <c r="AI29" s="31" t="s">
        <v>134</v>
      </c>
      <c r="AJ29" s="73" t="s">
        <v>135</v>
      </c>
      <c r="AK29" s="131" t="s">
        <v>457</v>
      </c>
      <c r="AL29" s="107" t="s">
        <v>458</v>
      </c>
      <c r="AM29" s="89"/>
      <c r="AN29" s="103"/>
      <c r="AO29" s="89"/>
      <c r="AP29" s="91"/>
      <c r="AQ29" s="89"/>
      <c r="AR29" s="91"/>
    </row>
    <row r="30" spans="2:44" s="76" customFormat="1" ht="189" customHeight="1" thickBot="1" x14ac:dyDescent="0.25">
      <c r="B30" s="24">
        <v>20</v>
      </c>
      <c r="C30" s="25" t="s">
        <v>128</v>
      </c>
      <c r="D30" s="25" t="s">
        <v>129</v>
      </c>
      <c r="E30" s="26" t="s">
        <v>130</v>
      </c>
      <c r="F30" s="25" t="s">
        <v>131</v>
      </c>
      <c r="G30" s="25" t="s">
        <v>132</v>
      </c>
      <c r="H30" s="25" t="s">
        <v>395</v>
      </c>
      <c r="I30" s="25" t="s">
        <v>396</v>
      </c>
      <c r="J30" s="25" t="s">
        <v>397</v>
      </c>
      <c r="K30" s="25" t="s">
        <v>398</v>
      </c>
      <c r="L30" s="25" t="s">
        <v>57</v>
      </c>
      <c r="M30" s="25" t="s">
        <v>63</v>
      </c>
      <c r="N30" s="25">
        <v>3</v>
      </c>
      <c r="O30" s="25" t="s">
        <v>136</v>
      </c>
      <c r="P30" s="27">
        <v>1</v>
      </c>
      <c r="Q30" s="28">
        <v>0.25</v>
      </c>
      <c r="R30" s="25" t="s">
        <v>147</v>
      </c>
      <c r="S30" s="29">
        <v>45658</v>
      </c>
      <c r="T30" s="29">
        <v>46022</v>
      </c>
      <c r="U30" s="110">
        <v>3</v>
      </c>
      <c r="V30" s="108">
        <v>3</v>
      </c>
      <c r="W30" s="109">
        <f>IFERROR((U30/V30)*$Q$30,0)</f>
        <v>0.25</v>
      </c>
      <c r="X30" s="27">
        <v>0</v>
      </c>
      <c r="Y30" s="30">
        <v>0</v>
      </c>
      <c r="Z30" s="31">
        <f>IFERROR((X30/Y30)*$Q$30,0)</f>
        <v>0</v>
      </c>
      <c r="AA30" s="27">
        <v>0</v>
      </c>
      <c r="AB30" s="30">
        <v>0</v>
      </c>
      <c r="AC30" s="31">
        <f>IFERROR((AA30/AB30)*$Q$30,0)</f>
        <v>0</v>
      </c>
      <c r="AD30" s="27">
        <v>0</v>
      </c>
      <c r="AE30" s="30">
        <v>0</v>
      </c>
      <c r="AF30" s="31">
        <f>IFERROR((AD30/AE30)*$Q$30,0)</f>
        <v>0</v>
      </c>
      <c r="AG30" s="32">
        <f>+W30+Z30+AC30+AF30</f>
        <v>0.25</v>
      </c>
      <c r="AH30" s="222"/>
      <c r="AI30" s="31" t="s">
        <v>148</v>
      </c>
      <c r="AJ30" s="73" t="s">
        <v>149</v>
      </c>
      <c r="AK30" s="127" t="s">
        <v>459</v>
      </c>
      <c r="AL30" s="107" t="s">
        <v>461</v>
      </c>
      <c r="AM30" s="93"/>
      <c r="AN30" s="103"/>
      <c r="AO30" s="89"/>
      <c r="AP30" s="91"/>
      <c r="AQ30" s="89"/>
      <c r="AR30" s="91"/>
    </row>
    <row r="31" spans="2:44" s="76" customFormat="1" ht="146.25" customHeight="1" thickBot="1" x14ac:dyDescent="0.25">
      <c r="B31" s="24">
        <v>21</v>
      </c>
      <c r="C31" s="25" t="s">
        <v>128</v>
      </c>
      <c r="D31" s="25" t="s">
        <v>129</v>
      </c>
      <c r="E31" s="26" t="s">
        <v>130</v>
      </c>
      <c r="F31" s="25" t="s">
        <v>131</v>
      </c>
      <c r="G31" s="25" t="s">
        <v>132</v>
      </c>
      <c r="H31" s="25" t="s">
        <v>137</v>
      </c>
      <c r="I31" s="25" t="s">
        <v>138</v>
      </c>
      <c r="J31" s="25" t="s">
        <v>139</v>
      </c>
      <c r="K31" s="25" t="s">
        <v>399</v>
      </c>
      <c r="L31" s="25" t="s">
        <v>51</v>
      </c>
      <c r="M31" s="25" t="s">
        <v>63</v>
      </c>
      <c r="N31" s="25" t="s">
        <v>54</v>
      </c>
      <c r="O31" s="25" t="s">
        <v>54</v>
      </c>
      <c r="P31" s="27" t="s">
        <v>364</v>
      </c>
      <c r="Q31" s="28">
        <v>0.25</v>
      </c>
      <c r="R31" s="25" t="s">
        <v>147</v>
      </c>
      <c r="S31" s="29">
        <v>45658</v>
      </c>
      <c r="T31" s="29">
        <v>46022</v>
      </c>
      <c r="U31" s="110">
        <v>6</v>
      </c>
      <c r="V31" s="108">
        <v>6</v>
      </c>
      <c r="W31" s="109">
        <f>IFERROR((U31/V31)*$Q$31,0)</f>
        <v>0.25</v>
      </c>
      <c r="X31" s="27">
        <v>0</v>
      </c>
      <c r="Y31" s="30">
        <v>0</v>
      </c>
      <c r="Z31" s="31">
        <f>IFERROR((X31/Y31)*$Q$31,0)</f>
        <v>0</v>
      </c>
      <c r="AA31" s="27">
        <v>0</v>
      </c>
      <c r="AB31" s="30">
        <v>0</v>
      </c>
      <c r="AC31" s="31">
        <f>IFERROR((AA31/AB31)*$Q$31,0)</f>
        <v>0</v>
      </c>
      <c r="AD31" s="27">
        <v>0</v>
      </c>
      <c r="AE31" s="30">
        <v>0</v>
      </c>
      <c r="AF31" s="31">
        <f>IFERROR((AD31/AE31)*$Q$31,0)</f>
        <v>0</v>
      </c>
      <c r="AG31" s="32">
        <f t="shared" si="1"/>
        <v>0.25</v>
      </c>
      <c r="AH31" s="222"/>
      <c r="AI31" s="31" t="s">
        <v>134</v>
      </c>
      <c r="AJ31" s="73" t="s">
        <v>135</v>
      </c>
      <c r="AK31" s="127" t="s">
        <v>460</v>
      </c>
      <c r="AL31" s="107" t="s">
        <v>462</v>
      </c>
      <c r="AM31" s="89"/>
      <c r="AN31" s="90"/>
      <c r="AO31" s="89"/>
      <c r="AP31" s="91"/>
      <c r="AQ31" s="89"/>
      <c r="AR31" s="91"/>
    </row>
    <row r="32" spans="2:44" s="76" customFormat="1" ht="144" customHeight="1" thickBot="1" x14ac:dyDescent="0.25">
      <c r="B32" s="24">
        <v>22</v>
      </c>
      <c r="C32" s="25" t="s">
        <v>140</v>
      </c>
      <c r="D32" s="25" t="s">
        <v>45</v>
      </c>
      <c r="E32" s="26" t="s">
        <v>141</v>
      </c>
      <c r="F32" s="25" t="s">
        <v>142</v>
      </c>
      <c r="G32" s="25" t="s">
        <v>143</v>
      </c>
      <c r="H32" s="25" t="s">
        <v>144</v>
      </c>
      <c r="I32" s="25" t="s">
        <v>145</v>
      </c>
      <c r="J32" s="25" t="s">
        <v>146</v>
      </c>
      <c r="K32" s="25" t="s">
        <v>358</v>
      </c>
      <c r="L32" s="25" t="s">
        <v>57</v>
      </c>
      <c r="M32" s="25" t="s">
        <v>63</v>
      </c>
      <c r="N32" s="25" t="s">
        <v>54</v>
      </c>
      <c r="O32" s="25" t="s">
        <v>54</v>
      </c>
      <c r="P32" s="27">
        <v>1</v>
      </c>
      <c r="Q32" s="28" t="s">
        <v>85</v>
      </c>
      <c r="R32" s="25" t="s">
        <v>147</v>
      </c>
      <c r="S32" s="29">
        <v>45658</v>
      </c>
      <c r="T32" s="29">
        <v>46022</v>
      </c>
      <c r="U32" s="110">
        <v>3</v>
      </c>
      <c r="V32" s="108">
        <v>3</v>
      </c>
      <c r="W32" s="109">
        <f>IFERROR((U32/V32)*25%,0)</f>
        <v>0.25</v>
      </c>
      <c r="X32" s="27">
        <v>0</v>
      </c>
      <c r="Y32" s="30">
        <v>0</v>
      </c>
      <c r="Z32" s="31">
        <f>IFERROR((X32/Y32)*25%,0)</f>
        <v>0</v>
      </c>
      <c r="AA32" s="27">
        <v>0</v>
      </c>
      <c r="AB32" s="30">
        <v>0</v>
      </c>
      <c r="AC32" s="31">
        <f>IFERROR((AA32/AB32)*25%,0)</f>
        <v>0</v>
      </c>
      <c r="AD32" s="27">
        <v>0</v>
      </c>
      <c r="AE32" s="30">
        <v>0</v>
      </c>
      <c r="AF32" s="31">
        <f>IFERROR((AD32/AE32)*25%,0)</f>
        <v>0</v>
      </c>
      <c r="AG32" s="32">
        <f t="shared" si="1"/>
        <v>0.25</v>
      </c>
      <c r="AH32" s="222">
        <f>+(AG32+AG34+AG35+AG36+AG33)/5</f>
        <v>0.2</v>
      </c>
      <c r="AI32" s="31" t="s">
        <v>148</v>
      </c>
      <c r="AJ32" s="73" t="s">
        <v>149</v>
      </c>
      <c r="AK32" s="127" t="s">
        <v>463</v>
      </c>
      <c r="AL32" s="107" t="s">
        <v>488</v>
      </c>
      <c r="AM32" s="89"/>
      <c r="AN32" s="90"/>
      <c r="AO32" s="95"/>
      <c r="AP32" s="91"/>
      <c r="AQ32" s="89"/>
      <c r="AR32" s="91"/>
    </row>
    <row r="33" spans="2:44" s="76" customFormat="1" ht="152.25" customHeight="1" thickBot="1" x14ac:dyDescent="0.25">
      <c r="B33" s="24">
        <v>23</v>
      </c>
      <c r="C33" s="25" t="s">
        <v>140</v>
      </c>
      <c r="D33" s="25" t="s">
        <v>45</v>
      </c>
      <c r="E33" s="26" t="s">
        <v>141</v>
      </c>
      <c r="F33" s="25" t="s">
        <v>142</v>
      </c>
      <c r="G33" s="25" t="s">
        <v>143</v>
      </c>
      <c r="H33" s="25" t="s">
        <v>150</v>
      </c>
      <c r="I33" s="25" t="s">
        <v>151</v>
      </c>
      <c r="J33" s="25" t="s">
        <v>152</v>
      </c>
      <c r="K33" s="25" t="s">
        <v>359</v>
      </c>
      <c r="L33" s="25" t="s">
        <v>57</v>
      </c>
      <c r="M33" s="25" t="s">
        <v>63</v>
      </c>
      <c r="N33" s="25" t="s">
        <v>54</v>
      </c>
      <c r="O33" s="25" t="s">
        <v>54</v>
      </c>
      <c r="P33" s="27">
        <v>1</v>
      </c>
      <c r="Q33" s="28">
        <v>0.25</v>
      </c>
      <c r="R33" s="25" t="s">
        <v>147</v>
      </c>
      <c r="S33" s="29">
        <v>45658</v>
      </c>
      <c r="T33" s="29">
        <v>46022</v>
      </c>
      <c r="U33" s="110">
        <v>64</v>
      </c>
      <c r="V33" s="108">
        <v>64</v>
      </c>
      <c r="W33" s="109">
        <f>IFERROR((U33/V33)*$Q$33,0)</f>
        <v>0.25</v>
      </c>
      <c r="X33" s="27">
        <v>0</v>
      </c>
      <c r="Y33" s="30">
        <v>0</v>
      </c>
      <c r="Z33" s="31">
        <f>IFERROR((X33/Y33)*$Q$33,0)</f>
        <v>0</v>
      </c>
      <c r="AA33" s="27">
        <v>0</v>
      </c>
      <c r="AB33" s="30">
        <v>0</v>
      </c>
      <c r="AC33" s="31">
        <f>IFERROR((AA33/AB33)*$Q$33,0)</f>
        <v>0</v>
      </c>
      <c r="AD33" s="27">
        <v>0</v>
      </c>
      <c r="AE33" s="30">
        <v>0</v>
      </c>
      <c r="AF33" s="31">
        <f>IFERROR((AD33/AE33)*$Q$33,0)</f>
        <v>0</v>
      </c>
      <c r="AG33" s="32">
        <f t="shared" si="1"/>
        <v>0.25</v>
      </c>
      <c r="AH33" s="222"/>
      <c r="AI33" s="31" t="s">
        <v>148</v>
      </c>
      <c r="AJ33" s="73" t="s">
        <v>149</v>
      </c>
      <c r="AK33" s="127" t="s">
        <v>464</v>
      </c>
      <c r="AL33" s="107" t="s">
        <v>585</v>
      </c>
      <c r="AM33" s="89"/>
      <c r="AN33" s="90"/>
      <c r="AO33" s="95"/>
      <c r="AP33" s="91"/>
      <c r="AQ33" s="89"/>
      <c r="AR33" s="91"/>
    </row>
    <row r="34" spans="2:44" s="76" customFormat="1" ht="156.75" customHeight="1" thickBot="1" x14ac:dyDescent="0.25">
      <c r="B34" s="24">
        <v>24</v>
      </c>
      <c r="C34" s="25" t="s">
        <v>140</v>
      </c>
      <c r="D34" s="25" t="s">
        <v>45</v>
      </c>
      <c r="E34" s="26" t="s">
        <v>141</v>
      </c>
      <c r="F34" s="25" t="s">
        <v>142</v>
      </c>
      <c r="G34" s="25" t="s">
        <v>153</v>
      </c>
      <c r="H34" s="25" t="s">
        <v>154</v>
      </c>
      <c r="I34" s="25" t="s">
        <v>155</v>
      </c>
      <c r="J34" s="25" t="s">
        <v>156</v>
      </c>
      <c r="K34" s="25" t="s">
        <v>157</v>
      </c>
      <c r="L34" s="25" t="s">
        <v>57</v>
      </c>
      <c r="M34" s="25" t="s">
        <v>63</v>
      </c>
      <c r="N34" s="25" t="s">
        <v>54</v>
      </c>
      <c r="O34" s="25" t="s">
        <v>54</v>
      </c>
      <c r="P34" s="27">
        <v>1</v>
      </c>
      <c r="Q34" s="28">
        <v>0.25</v>
      </c>
      <c r="R34" s="25" t="s">
        <v>53</v>
      </c>
      <c r="S34" s="29">
        <v>45658</v>
      </c>
      <c r="T34" s="29">
        <v>46022</v>
      </c>
      <c r="U34" s="110">
        <v>1</v>
      </c>
      <c r="V34" s="108">
        <v>1</v>
      </c>
      <c r="W34" s="109">
        <f>IFERROR((U34/V34)*$Q$34,0)</f>
        <v>0.25</v>
      </c>
      <c r="X34" s="27">
        <v>0</v>
      </c>
      <c r="Y34" s="30">
        <v>0</v>
      </c>
      <c r="Z34" s="31">
        <f>IFERROR((X34/Y34)*$Q$34,0)</f>
        <v>0</v>
      </c>
      <c r="AA34" s="27">
        <v>0</v>
      </c>
      <c r="AB34" s="30">
        <v>0</v>
      </c>
      <c r="AC34" s="31">
        <f>IFERROR((AA34/AB34)*$Q$34,0)</f>
        <v>0</v>
      </c>
      <c r="AD34" s="27">
        <v>0</v>
      </c>
      <c r="AE34" s="30">
        <v>0</v>
      </c>
      <c r="AF34" s="31">
        <f>IFERROR((AD34/AE34)*$Q$34,0)</f>
        <v>0</v>
      </c>
      <c r="AG34" s="32">
        <f t="shared" si="1"/>
        <v>0.25</v>
      </c>
      <c r="AH34" s="222"/>
      <c r="AI34" s="31" t="s">
        <v>148</v>
      </c>
      <c r="AJ34" s="73" t="s">
        <v>149</v>
      </c>
      <c r="AK34" s="127" t="s">
        <v>465</v>
      </c>
      <c r="AL34" s="107" t="s">
        <v>489</v>
      </c>
      <c r="AM34" s="89"/>
      <c r="AN34" s="97"/>
      <c r="AO34" s="95"/>
      <c r="AP34" s="91"/>
      <c r="AQ34" s="95"/>
      <c r="AR34" s="91"/>
    </row>
    <row r="35" spans="2:44" s="76" customFormat="1" ht="150.75" customHeight="1" thickBot="1" x14ac:dyDescent="0.25">
      <c r="B35" s="24">
        <v>25</v>
      </c>
      <c r="C35" s="25" t="s">
        <v>140</v>
      </c>
      <c r="D35" s="25" t="s">
        <v>45</v>
      </c>
      <c r="E35" s="26" t="s">
        <v>141</v>
      </c>
      <c r="F35" s="25" t="s">
        <v>142</v>
      </c>
      <c r="G35" s="25" t="s">
        <v>158</v>
      </c>
      <c r="H35" s="25" t="s">
        <v>159</v>
      </c>
      <c r="I35" s="25" t="s">
        <v>160</v>
      </c>
      <c r="J35" s="25" t="s">
        <v>161</v>
      </c>
      <c r="K35" s="25" t="s">
        <v>360</v>
      </c>
      <c r="L35" s="25" t="s">
        <v>57</v>
      </c>
      <c r="M35" s="25" t="s">
        <v>63</v>
      </c>
      <c r="N35" s="25" t="s">
        <v>54</v>
      </c>
      <c r="O35" s="25" t="s">
        <v>54</v>
      </c>
      <c r="P35" s="27" t="s">
        <v>364</v>
      </c>
      <c r="Q35" s="28">
        <v>0.5</v>
      </c>
      <c r="R35" s="25" t="s">
        <v>177</v>
      </c>
      <c r="S35" s="29">
        <v>45658</v>
      </c>
      <c r="T35" s="29">
        <v>46022</v>
      </c>
      <c r="U35" s="110">
        <v>0</v>
      </c>
      <c r="V35" s="108">
        <v>0</v>
      </c>
      <c r="W35" s="109" t="s">
        <v>54</v>
      </c>
      <c r="X35" s="27">
        <v>0</v>
      </c>
      <c r="Y35" s="30">
        <v>0</v>
      </c>
      <c r="Z35" s="31">
        <f>IFERROR((X35/Y35)*$Q$35,0)</f>
        <v>0</v>
      </c>
      <c r="AA35" s="27">
        <v>0</v>
      </c>
      <c r="AB35" s="30">
        <v>0</v>
      </c>
      <c r="AC35" s="31" t="s">
        <v>54</v>
      </c>
      <c r="AD35" s="27">
        <v>0</v>
      </c>
      <c r="AE35" s="30">
        <v>0</v>
      </c>
      <c r="AF35" s="31">
        <f>IFERROR((AD35/AE35)*$Q$35,0)</f>
        <v>0</v>
      </c>
      <c r="AG35" s="32">
        <f>Z35+AF35</f>
        <v>0</v>
      </c>
      <c r="AH35" s="222"/>
      <c r="AI35" s="31" t="s">
        <v>148</v>
      </c>
      <c r="AJ35" s="73" t="s">
        <v>149</v>
      </c>
      <c r="AK35" s="127" t="s">
        <v>490</v>
      </c>
      <c r="AL35" s="107" t="s">
        <v>491</v>
      </c>
      <c r="AM35" s="89"/>
      <c r="AN35" s="90"/>
      <c r="AO35" s="95"/>
      <c r="AP35" s="91"/>
      <c r="AQ35" s="95"/>
      <c r="AR35" s="91"/>
    </row>
    <row r="36" spans="2:44" s="76" customFormat="1" ht="309" customHeight="1" thickBot="1" x14ac:dyDescent="0.25">
      <c r="B36" s="24">
        <v>26</v>
      </c>
      <c r="C36" s="25" t="s">
        <v>140</v>
      </c>
      <c r="D36" s="25" t="s">
        <v>45</v>
      </c>
      <c r="E36" s="26" t="s">
        <v>141</v>
      </c>
      <c r="F36" s="25" t="s">
        <v>162</v>
      </c>
      <c r="G36" s="25" t="s">
        <v>163</v>
      </c>
      <c r="H36" s="25" t="s">
        <v>164</v>
      </c>
      <c r="I36" s="25" t="s">
        <v>362</v>
      </c>
      <c r="J36" s="25" t="s">
        <v>363</v>
      </c>
      <c r="K36" s="25" t="s">
        <v>361</v>
      </c>
      <c r="L36" s="25" t="s">
        <v>57</v>
      </c>
      <c r="M36" s="25" t="s">
        <v>63</v>
      </c>
      <c r="N36" s="25" t="s">
        <v>54</v>
      </c>
      <c r="O36" s="25" t="s">
        <v>54</v>
      </c>
      <c r="P36" s="27" t="s">
        <v>364</v>
      </c>
      <c r="Q36" s="28">
        <v>0.25</v>
      </c>
      <c r="R36" s="25" t="s">
        <v>64</v>
      </c>
      <c r="S36" s="29">
        <v>45658</v>
      </c>
      <c r="T36" s="29">
        <v>46022</v>
      </c>
      <c r="U36" s="110">
        <v>7</v>
      </c>
      <c r="V36" s="108">
        <v>7</v>
      </c>
      <c r="W36" s="109">
        <f>IFERROR((U36/V36)*$Q$36,0)</f>
        <v>0.25</v>
      </c>
      <c r="X36" s="27">
        <v>0</v>
      </c>
      <c r="Y36" s="30">
        <v>0</v>
      </c>
      <c r="Z36" s="31">
        <f>IFERROR((X36/Y36)*$Q$36,0)</f>
        <v>0</v>
      </c>
      <c r="AA36" s="27">
        <v>0</v>
      </c>
      <c r="AB36" s="30">
        <v>0</v>
      </c>
      <c r="AC36" s="31">
        <f>IFERROR((AA36/AB36)*$Q$36,0)</f>
        <v>0</v>
      </c>
      <c r="AD36" s="27"/>
      <c r="AE36" s="30"/>
      <c r="AF36" s="31">
        <f>IFERROR((AD36/AE36)*$Q$36,0)</f>
        <v>0</v>
      </c>
      <c r="AG36" s="32">
        <f t="shared" si="1"/>
        <v>0.25</v>
      </c>
      <c r="AH36" s="222"/>
      <c r="AI36" s="31" t="s">
        <v>148</v>
      </c>
      <c r="AJ36" s="73" t="s">
        <v>149</v>
      </c>
      <c r="AK36" s="132" t="s">
        <v>466</v>
      </c>
      <c r="AL36" s="107" t="s">
        <v>492</v>
      </c>
      <c r="AM36" s="89"/>
      <c r="AN36" s="90"/>
      <c r="AO36" s="89"/>
      <c r="AP36" s="91"/>
      <c r="AQ36" s="101"/>
      <c r="AR36" s="91"/>
    </row>
    <row r="37" spans="2:44" s="76" customFormat="1" ht="209.25" customHeight="1" thickBot="1" x14ac:dyDescent="0.25">
      <c r="B37" s="24">
        <v>27</v>
      </c>
      <c r="C37" s="25" t="s">
        <v>165</v>
      </c>
      <c r="D37" s="25" t="s">
        <v>166</v>
      </c>
      <c r="E37" s="26" t="s">
        <v>167</v>
      </c>
      <c r="F37" s="25" t="s">
        <v>168</v>
      </c>
      <c r="G37" s="25" t="s">
        <v>169</v>
      </c>
      <c r="H37" s="25" t="s">
        <v>380</v>
      </c>
      <c r="I37" s="25" t="s">
        <v>381</v>
      </c>
      <c r="J37" s="25" t="s">
        <v>382</v>
      </c>
      <c r="K37" s="25" t="s">
        <v>383</v>
      </c>
      <c r="L37" s="25" t="s">
        <v>57</v>
      </c>
      <c r="M37" s="25" t="s">
        <v>63</v>
      </c>
      <c r="N37" s="25" t="s">
        <v>170</v>
      </c>
      <c r="O37" s="25" t="s">
        <v>171</v>
      </c>
      <c r="P37" s="27" t="s">
        <v>364</v>
      </c>
      <c r="Q37" s="28">
        <v>0.25</v>
      </c>
      <c r="R37" s="25" t="s">
        <v>64</v>
      </c>
      <c r="S37" s="29">
        <v>45658</v>
      </c>
      <c r="T37" s="29">
        <v>46022</v>
      </c>
      <c r="U37" s="118">
        <v>1</v>
      </c>
      <c r="V37" s="118">
        <v>1</v>
      </c>
      <c r="W37" s="109">
        <f>IFERROR((U37/V37)*$Q$37,0)</f>
        <v>0.25</v>
      </c>
      <c r="X37" s="27">
        <v>0</v>
      </c>
      <c r="Y37" s="30">
        <v>0</v>
      </c>
      <c r="Z37" s="31">
        <f>IFERROR((X37/Y37)*$Q$37,0)</f>
        <v>0</v>
      </c>
      <c r="AA37" s="27">
        <v>0</v>
      </c>
      <c r="AB37" s="30">
        <v>0</v>
      </c>
      <c r="AC37" s="31">
        <f>IFERROR((AA37/AB37)*$Q$37,0)</f>
        <v>0</v>
      </c>
      <c r="AD37" s="27">
        <v>0</v>
      </c>
      <c r="AE37" s="30">
        <v>0</v>
      </c>
      <c r="AF37" s="31">
        <f>IFERROR((AD37/AE37)*$Q$37,0)</f>
        <v>0</v>
      </c>
      <c r="AG37" s="32">
        <f>+Z37+AC37+AF37+W37</f>
        <v>0.25</v>
      </c>
      <c r="AH37" s="222">
        <f>+(AG37+AG38+AG39+AG40+AG41+AG42)/6</f>
        <v>0.13020833333333334</v>
      </c>
      <c r="AI37" s="31" t="s">
        <v>173</v>
      </c>
      <c r="AJ37" s="73" t="s">
        <v>174</v>
      </c>
      <c r="AK37" s="127" t="s">
        <v>467</v>
      </c>
      <c r="AL37" s="107" t="s">
        <v>493</v>
      </c>
      <c r="AM37" s="89"/>
      <c r="AN37" s="97"/>
      <c r="AO37" s="89"/>
      <c r="AP37" s="91"/>
      <c r="AQ37" s="95"/>
      <c r="AR37" s="91"/>
    </row>
    <row r="38" spans="2:44" s="76" customFormat="1" ht="141.75" customHeight="1" thickBot="1" x14ac:dyDescent="0.25">
      <c r="B38" s="24">
        <v>28</v>
      </c>
      <c r="C38" s="25" t="s">
        <v>165</v>
      </c>
      <c r="D38" s="25" t="s">
        <v>166</v>
      </c>
      <c r="E38" s="26" t="s">
        <v>167</v>
      </c>
      <c r="F38" s="25" t="s">
        <v>384</v>
      </c>
      <c r="G38" s="25" t="s">
        <v>175</v>
      </c>
      <c r="H38" s="25" t="s">
        <v>176</v>
      </c>
      <c r="I38" s="25" t="s">
        <v>386</v>
      </c>
      <c r="J38" s="25" t="s">
        <v>385</v>
      </c>
      <c r="K38" s="25" t="s">
        <v>387</v>
      </c>
      <c r="L38" s="25" t="s">
        <v>57</v>
      </c>
      <c r="M38" s="25" t="s">
        <v>63</v>
      </c>
      <c r="N38" s="25">
        <v>2</v>
      </c>
      <c r="O38" s="25" t="s">
        <v>171</v>
      </c>
      <c r="P38" s="27">
        <v>2</v>
      </c>
      <c r="Q38" s="28">
        <v>0.5</v>
      </c>
      <c r="R38" s="25" t="s">
        <v>177</v>
      </c>
      <c r="S38" s="29">
        <v>45658</v>
      </c>
      <c r="T38" s="29">
        <v>46022</v>
      </c>
      <c r="U38" s="118" t="s">
        <v>172</v>
      </c>
      <c r="V38" s="119" t="s">
        <v>172</v>
      </c>
      <c r="W38" s="109" t="s">
        <v>54</v>
      </c>
      <c r="X38" s="27">
        <v>0</v>
      </c>
      <c r="Y38" s="30">
        <v>0</v>
      </c>
      <c r="Z38" s="31">
        <f>IFERROR((X38/Y38)*$Q$38,0)</f>
        <v>0</v>
      </c>
      <c r="AA38" s="34" t="s">
        <v>172</v>
      </c>
      <c r="AB38" s="35" t="s">
        <v>172</v>
      </c>
      <c r="AC38" s="31" t="s">
        <v>170</v>
      </c>
      <c r="AD38" s="27">
        <v>0</v>
      </c>
      <c r="AE38" s="30">
        <v>0</v>
      </c>
      <c r="AF38" s="31">
        <f>IFERROR((AD38/AE38)*$Q$38,0)</f>
        <v>0</v>
      </c>
      <c r="AG38" s="32">
        <f>+Z38+AF38</f>
        <v>0</v>
      </c>
      <c r="AH38" s="222"/>
      <c r="AI38" s="31" t="s">
        <v>173</v>
      </c>
      <c r="AJ38" s="73" t="s">
        <v>174</v>
      </c>
      <c r="AK38" s="127" t="s">
        <v>468</v>
      </c>
      <c r="AL38" s="107" t="s">
        <v>494</v>
      </c>
      <c r="AM38" s="89"/>
      <c r="AN38" s="97"/>
      <c r="AO38" s="89"/>
      <c r="AP38" s="91"/>
      <c r="AQ38" s="95"/>
      <c r="AR38" s="91"/>
    </row>
    <row r="39" spans="2:44" s="76" customFormat="1" ht="82.5" customHeight="1" thickBot="1" x14ac:dyDescent="0.25">
      <c r="B39" s="24">
        <v>29</v>
      </c>
      <c r="C39" s="25" t="s">
        <v>165</v>
      </c>
      <c r="D39" s="25" t="s">
        <v>166</v>
      </c>
      <c r="E39" s="26" t="s">
        <v>167</v>
      </c>
      <c r="F39" s="25" t="s">
        <v>168</v>
      </c>
      <c r="G39" s="25" t="s">
        <v>169</v>
      </c>
      <c r="H39" s="25" t="s">
        <v>415</v>
      </c>
      <c r="I39" s="25" t="s">
        <v>416</v>
      </c>
      <c r="J39" s="25" t="s">
        <v>417</v>
      </c>
      <c r="K39" s="25" t="s">
        <v>418</v>
      </c>
      <c r="L39" s="25" t="s">
        <v>57</v>
      </c>
      <c r="M39" s="25" t="s">
        <v>63</v>
      </c>
      <c r="N39" s="25">
        <v>1</v>
      </c>
      <c r="O39" s="25" t="s">
        <v>178</v>
      </c>
      <c r="P39" s="27" t="s">
        <v>364</v>
      </c>
      <c r="Q39" s="28">
        <v>0.25</v>
      </c>
      <c r="R39" s="25" t="s">
        <v>64</v>
      </c>
      <c r="S39" s="29">
        <v>45658</v>
      </c>
      <c r="T39" s="29">
        <v>46022</v>
      </c>
      <c r="U39" s="110">
        <v>18</v>
      </c>
      <c r="V39" s="108">
        <v>18</v>
      </c>
      <c r="W39" s="109">
        <f>IFERROR((U39/V39)*$Q$39,0)</f>
        <v>0.25</v>
      </c>
      <c r="X39" s="27">
        <v>0</v>
      </c>
      <c r="Y39" s="30">
        <v>0</v>
      </c>
      <c r="Z39" s="31">
        <f>IFERROR((X39/Y39)*$Q$39,0)</f>
        <v>0</v>
      </c>
      <c r="AA39" s="27">
        <v>0</v>
      </c>
      <c r="AB39" s="30">
        <v>0</v>
      </c>
      <c r="AC39" s="31">
        <f>IFERROR((AA39/AB39)*$Q$39,0)</f>
        <v>0</v>
      </c>
      <c r="AD39" s="27">
        <v>0</v>
      </c>
      <c r="AE39" s="30">
        <v>0</v>
      </c>
      <c r="AF39" s="31">
        <f>IFERROR((AD39/AE39)*$Q$39,0)</f>
        <v>0</v>
      </c>
      <c r="AG39" s="32">
        <f>+W39+Z39+AC39+AF39</f>
        <v>0.25</v>
      </c>
      <c r="AH39" s="222"/>
      <c r="AI39" s="31" t="s">
        <v>173</v>
      </c>
      <c r="AJ39" s="73" t="s">
        <v>174</v>
      </c>
      <c r="AK39" s="127" t="s">
        <v>469</v>
      </c>
      <c r="AL39" s="128" t="s">
        <v>495</v>
      </c>
      <c r="AM39" s="89"/>
      <c r="AN39" s="97"/>
      <c r="AO39" s="89"/>
      <c r="AP39" s="91"/>
      <c r="AQ39" s="95"/>
      <c r="AR39" s="91"/>
    </row>
    <row r="40" spans="2:44" s="76" customFormat="1" ht="97.5" customHeight="1" thickBot="1" x14ac:dyDescent="0.25">
      <c r="B40" s="24">
        <v>30</v>
      </c>
      <c r="C40" s="25" t="s">
        <v>165</v>
      </c>
      <c r="D40" s="25" t="s">
        <v>166</v>
      </c>
      <c r="E40" s="26" t="s">
        <v>167</v>
      </c>
      <c r="F40" s="25" t="s">
        <v>168</v>
      </c>
      <c r="G40" s="25" t="s">
        <v>179</v>
      </c>
      <c r="H40" s="25" t="s">
        <v>180</v>
      </c>
      <c r="I40" s="25" t="s">
        <v>181</v>
      </c>
      <c r="J40" s="25" t="s">
        <v>182</v>
      </c>
      <c r="K40" s="25" t="s">
        <v>388</v>
      </c>
      <c r="L40" s="25" t="s">
        <v>57</v>
      </c>
      <c r="M40" s="25" t="s">
        <v>63</v>
      </c>
      <c r="N40" s="25">
        <v>64</v>
      </c>
      <c r="O40" s="25" t="s">
        <v>183</v>
      </c>
      <c r="P40" s="27">
        <v>2</v>
      </c>
      <c r="Q40" s="28">
        <v>0.5</v>
      </c>
      <c r="R40" s="25" t="s">
        <v>177</v>
      </c>
      <c r="S40" s="29">
        <v>45658</v>
      </c>
      <c r="T40" s="29">
        <v>46022</v>
      </c>
      <c r="U40" s="110" t="s">
        <v>172</v>
      </c>
      <c r="V40" s="108" t="s">
        <v>172</v>
      </c>
      <c r="W40" s="109" t="s">
        <v>54</v>
      </c>
      <c r="X40" s="27">
        <v>0</v>
      </c>
      <c r="Y40" s="30">
        <v>0</v>
      </c>
      <c r="Z40" s="31">
        <f>IFERROR((X40/Y40)*$Q40,0)</f>
        <v>0</v>
      </c>
      <c r="AA40" s="27" t="s">
        <v>265</v>
      </c>
      <c r="AB40" s="30" t="s">
        <v>172</v>
      </c>
      <c r="AC40" s="31" t="s">
        <v>54</v>
      </c>
      <c r="AD40" s="27">
        <v>0</v>
      </c>
      <c r="AE40" s="30">
        <v>0</v>
      </c>
      <c r="AF40" s="31">
        <f>IFERROR((AD40/AE40)*$Q40,0)</f>
        <v>0</v>
      </c>
      <c r="AG40" s="32">
        <f>Z40+AF40</f>
        <v>0</v>
      </c>
      <c r="AH40" s="222"/>
      <c r="AI40" s="31" t="s">
        <v>173</v>
      </c>
      <c r="AJ40" s="73" t="s">
        <v>174</v>
      </c>
      <c r="AK40" s="127" t="s">
        <v>470</v>
      </c>
      <c r="AL40" s="107" t="s">
        <v>496</v>
      </c>
      <c r="AM40" s="89"/>
      <c r="AN40" s="90"/>
      <c r="AO40" s="89"/>
      <c r="AP40" s="91"/>
      <c r="AQ40" s="95"/>
      <c r="AR40" s="91"/>
    </row>
    <row r="41" spans="2:44" s="76" customFormat="1" ht="74.25" customHeight="1" thickBot="1" x14ac:dyDescent="0.25">
      <c r="B41" s="24">
        <v>31</v>
      </c>
      <c r="C41" s="25" t="s">
        <v>165</v>
      </c>
      <c r="D41" s="25" t="s">
        <v>166</v>
      </c>
      <c r="E41" s="26" t="s">
        <v>167</v>
      </c>
      <c r="F41" s="25" t="s">
        <v>168</v>
      </c>
      <c r="G41" s="25" t="s">
        <v>179</v>
      </c>
      <c r="H41" s="25" t="s">
        <v>185</v>
      </c>
      <c r="I41" s="25" t="s">
        <v>184</v>
      </c>
      <c r="J41" s="25" t="s">
        <v>185</v>
      </c>
      <c r="K41" s="25" t="s">
        <v>389</v>
      </c>
      <c r="L41" s="25" t="s">
        <v>57</v>
      </c>
      <c r="M41" s="25" t="s">
        <v>63</v>
      </c>
      <c r="N41" s="25">
        <v>3</v>
      </c>
      <c r="O41" s="25" t="s">
        <v>186</v>
      </c>
      <c r="P41" s="27">
        <v>3</v>
      </c>
      <c r="Q41" s="28">
        <v>0.25</v>
      </c>
      <c r="R41" s="25" t="s">
        <v>64</v>
      </c>
      <c r="S41" s="29">
        <v>45658</v>
      </c>
      <c r="T41" s="29">
        <v>46022</v>
      </c>
      <c r="U41" s="110">
        <v>3</v>
      </c>
      <c r="V41" s="108">
        <v>3</v>
      </c>
      <c r="W41" s="109">
        <f>IFERROR((U41/V41)*$Q$41,0)</f>
        <v>0.25</v>
      </c>
      <c r="X41" s="27">
        <v>0</v>
      </c>
      <c r="Y41" s="30">
        <v>0</v>
      </c>
      <c r="Z41" s="31">
        <f>IFERROR((X41/Y41)*$Q$41,0)</f>
        <v>0</v>
      </c>
      <c r="AA41" s="27">
        <v>0</v>
      </c>
      <c r="AB41" s="30">
        <v>0</v>
      </c>
      <c r="AC41" s="31">
        <f>IFERROR((AA41/AB41)*$Q$41,0)</f>
        <v>0</v>
      </c>
      <c r="AD41" s="27">
        <v>0</v>
      </c>
      <c r="AE41" s="30">
        <v>0</v>
      </c>
      <c r="AF41" s="31">
        <f>IFERROR((AD41/AE41)*$Q$41,0)</f>
        <v>0</v>
      </c>
      <c r="AG41" s="32">
        <f t="shared" ref="AG41:AG47" si="2">+W41+Z41+AC41+AF41</f>
        <v>0.25</v>
      </c>
      <c r="AH41" s="222"/>
      <c r="AI41" s="31" t="s">
        <v>173</v>
      </c>
      <c r="AJ41" s="73" t="s">
        <v>174</v>
      </c>
      <c r="AK41" s="127" t="s">
        <v>471</v>
      </c>
      <c r="AL41" s="128" t="s">
        <v>497</v>
      </c>
      <c r="AM41" s="89"/>
      <c r="AN41" s="97"/>
      <c r="AO41" s="89"/>
      <c r="AP41" s="91"/>
      <c r="AQ41" s="95"/>
      <c r="AR41" s="91"/>
    </row>
    <row r="42" spans="2:44" s="76" customFormat="1" ht="84" customHeight="1" thickBot="1" x14ac:dyDescent="0.25">
      <c r="B42" s="24">
        <v>32</v>
      </c>
      <c r="C42" s="25" t="s">
        <v>165</v>
      </c>
      <c r="D42" s="25" t="s">
        <v>390</v>
      </c>
      <c r="E42" s="26" t="s">
        <v>167</v>
      </c>
      <c r="F42" s="25" t="s">
        <v>168</v>
      </c>
      <c r="G42" s="25" t="s">
        <v>169</v>
      </c>
      <c r="H42" s="25" t="s">
        <v>391</v>
      </c>
      <c r="I42" s="25" t="s">
        <v>392</v>
      </c>
      <c r="J42" s="25" t="s">
        <v>393</v>
      </c>
      <c r="K42" s="25" t="s">
        <v>394</v>
      </c>
      <c r="L42" s="25" t="s">
        <v>57</v>
      </c>
      <c r="M42" s="25" t="s">
        <v>63</v>
      </c>
      <c r="N42" s="25" t="s">
        <v>54</v>
      </c>
      <c r="O42" s="25" t="s">
        <v>171</v>
      </c>
      <c r="P42" s="27" t="s">
        <v>364</v>
      </c>
      <c r="Q42" s="28">
        <v>0.25</v>
      </c>
      <c r="R42" s="25" t="s">
        <v>64</v>
      </c>
      <c r="S42" s="29">
        <v>45658</v>
      </c>
      <c r="T42" s="29">
        <v>46022</v>
      </c>
      <c r="U42" s="118">
        <v>1</v>
      </c>
      <c r="V42" s="119">
        <v>8</v>
      </c>
      <c r="W42" s="109">
        <f>IFERROR((U42/V42)*$Q$42,0)</f>
        <v>3.125E-2</v>
      </c>
      <c r="X42" s="27">
        <v>0</v>
      </c>
      <c r="Y42" s="39">
        <v>0</v>
      </c>
      <c r="Z42" s="31">
        <f>IFERROR((X42/Y42)*$Q$42,0)</f>
        <v>0</v>
      </c>
      <c r="AA42" s="27">
        <v>0</v>
      </c>
      <c r="AB42" s="39">
        <v>0</v>
      </c>
      <c r="AC42" s="31">
        <f>IFERROR((AA42/AB42)*$Q$42,0)</f>
        <v>0</v>
      </c>
      <c r="AD42" s="27">
        <v>0</v>
      </c>
      <c r="AE42" s="39">
        <v>0</v>
      </c>
      <c r="AF42" s="31">
        <f>IFERROR((AD42/AE42)*$Q$42,0)</f>
        <v>0</v>
      </c>
      <c r="AG42" s="32">
        <f t="shared" si="2"/>
        <v>3.125E-2</v>
      </c>
      <c r="AH42" s="222"/>
      <c r="AI42" s="31" t="s">
        <v>173</v>
      </c>
      <c r="AJ42" s="73" t="s">
        <v>174</v>
      </c>
      <c r="AK42" s="127" t="s">
        <v>472</v>
      </c>
      <c r="AL42" s="128" t="s">
        <v>498</v>
      </c>
      <c r="AM42" s="89"/>
      <c r="AN42" s="97"/>
      <c r="AO42" s="89"/>
      <c r="AP42" s="91"/>
      <c r="AQ42" s="95"/>
      <c r="AR42" s="91"/>
    </row>
    <row r="43" spans="2:44" s="76" customFormat="1" ht="249" customHeight="1" thickBot="1" x14ac:dyDescent="0.25">
      <c r="B43" s="24">
        <v>33</v>
      </c>
      <c r="C43" s="25" t="s">
        <v>165</v>
      </c>
      <c r="D43" s="25" t="s">
        <v>187</v>
      </c>
      <c r="E43" s="26" t="s">
        <v>188</v>
      </c>
      <c r="F43" s="25" t="s">
        <v>189</v>
      </c>
      <c r="G43" s="25" t="s">
        <v>190</v>
      </c>
      <c r="H43" s="25" t="s">
        <v>191</v>
      </c>
      <c r="I43" s="25" t="s">
        <v>342</v>
      </c>
      <c r="J43" s="25" t="s">
        <v>192</v>
      </c>
      <c r="K43" s="25" t="s">
        <v>341</v>
      </c>
      <c r="L43" s="25" t="s">
        <v>57</v>
      </c>
      <c r="M43" s="25" t="s">
        <v>52</v>
      </c>
      <c r="N43" s="25">
        <v>10</v>
      </c>
      <c r="O43" s="25" t="s">
        <v>193</v>
      </c>
      <c r="P43" s="38">
        <v>19</v>
      </c>
      <c r="Q43" s="28" t="s">
        <v>85</v>
      </c>
      <c r="R43" s="25" t="s">
        <v>64</v>
      </c>
      <c r="S43" s="29">
        <v>45658</v>
      </c>
      <c r="T43" s="29">
        <v>46022</v>
      </c>
      <c r="U43" s="110">
        <v>4</v>
      </c>
      <c r="V43" s="108">
        <v>3</v>
      </c>
      <c r="W43" s="109">
        <f>+U43/P43</f>
        <v>0.21052631578947367</v>
      </c>
      <c r="X43" s="27">
        <v>0</v>
      </c>
      <c r="Y43" s="39">
        <v>8</v>
      </c>
      <c r="Z43" s="31">
        <f>+(X43/Y43)*(X43/$P$43)</f>
        <v>0</v>
      </c>
      <c r="AA43" s="27">
        <v>0</v>
      </c>
      <c r="AB43" s="39">
        <v>5</v>
      </c>
      <c r="AC43" s="31">
        <f>+(AA43/AB43)*(AA43/$P$43)</f>
        <v>0</v>
      </c>
      <c r="AD43" s="27">
        <v>0</v>
      </c>
      <c r="AE43" s="39">
        <v>3</v>
      </c>
      <c r="AF43" s="31">
        <f>+(AD43/AE43)*(AD43/$P$43)</f>
        <v>0</v>
      </c>
      <c r="AG43" s="72">
        <f t="shared" si="2"/>
        <v>0.21052631578947367</v>
      </c>
      <c r="AH43" s="196">
        <f>+(AG43+AG44+AG45+AG46+AG47+AG48+AG50+AG49)/8</f>
        <v>0.17818516193129197</v>
      </c>
      <c r="AI43" s="31" t="s">
        <v>194</v>
      </c>
      <c r="AJ43" s="73" t="s">
        <v>195</v>
      </c>
      <c r="AK43" s="127" t="s">
        <v>473</v>
      </c>
      <c r="AL43" s="107" t="s">
        <v>499</v>
      </c>
      <c r="AM43" s="89"/>
      <c r="AN43" s="90"/>
      <c r="AO43" s="89"/>
      <c r="AP43" s="91"/>
      <c r="AQ43" s="89"/>
      <c r="AR43" s="91"/>
    </row>
    <row r="44" spans="2:44" s="76" customFormat="1" ht="150" customHeight="1" thickBot="1" x14ac:dyDescent="0.25">
      <c r="B44" s="24">
        <v>34</v>
      </c>
      <c r="C44" s="25" t="s">
        <v>165</v>
      </c>
      <c r="D44" s="25" t="s">
        <v>187</v>
      </c>
      <c r="E44" s="26" t="s">
        <v>188</v>
      </c>
      <c r="F44" s="25" t="s">
        <v>189</v>
      </c>
      <c r="G44" s="25" t="s">
        <v>190</v>
      </c>
      <c r="H44" s="25" t="s">
        <v>196</v>
      </c>
      <c r="I44" s="25" t="s">
        <v>343</v>
      </c>
      <c r="J44" s="25" t="s">
        <v>197</v>
      </c>
      <c r="K44" s="25" t="s">
        <v>341</v>
      </c>
      <c r="L44" s="25" t="s">
        <v>51</v>
      </c>
      <c r="M44" s="25" t="s">
        <v>63</v>
      </c>
      <c r="N44" s="25">
        <v>29</v>
      </c>
      <c r="O44" s="25" t="s">
        <v>344</v>
      </c>
      <c r="P44" s="38">
        <v>33</v>
      </c>
      <c r="Q44" s="40" t="s">
        <v>85</v>
      </c>
      <c r="R44" s="41" t="s">
        <v>64</v>
      </c>
      <c r="S44" s="29">
        <v>45658</v>
      </c>
      <c r="T44" s="29">
        <v>46022</v>
      </c>
      <c r="U44" s="120">
        <v>9</v>
      </c>
      <c r="V44" s="121">
        <v>13</v>
      </c>
      <c r="W44" s="122">
        <f>+IFERROR((U44/V44)*(U44/$P$44),0)</f>
        <v>0.1888111888111888</v>
      </c>
      <c r="X44" s="42">
        <v>0</v>
      </c>
      <c r="Y44" s="39">
        <v>17</v>
      </c>
      <c r="Z44" s="43">
        <f>+IFERROR((X44/Y44)*(X44/$P$44),0)</f>
        <v>0</v>
      </c>
      <c r="AA44" s="42">
        <v>0</v>
      </c>
      <c r="AB44" s="39">
        <v>15</v>
      </c>
      <c r="AC44" s="43">
        <f>+IFERROR((AA44/AB44)*(AA44/$P$44),0)</f>
        <v>0</v>
      </c>
      <c r="AD44" s="42">
        <v>0</v>
      </c>
      <c r="AE44" s="39">
        <v>12</v>
      </c>
      <c r="AF44" s="43">
        <f>+IFERROR((AD44/AE44)*(AD44/$P$44),0)</f>
        <v>0</v>
      </c>
      <c r="AG44" s="72">
        <f t="shared" si="2"/>
        <v>0.1888111888111888</v>
      </c>
      <c r="AH44" s="196"/>
      <c r="AI44" s="31" t="s">
        <v>198</v>
      </c>
      <c r="AJ44" s="73" t="s">
        <v>195</v>
      </c>
      <c r="AK44" s="127" t="s">
        <v>474</v>
      </c>
      <c r="AL44" s="107" t="s">
        <v>532</v>
      </c>
      <c r="AM44" s="89"/>
      <c r="AN44" s="90"/>
      <c r="AO44" s="89"/>
      <c r="AP44" s="91"/>
      <c r="AQ44" s="89"/>
      <c r="AR44" s="91"/>
    </row>
    <row r="45" spans="2:44" s="76" customFormat="1" ht="204" customHeight="1" thickBot="1" x14ac:dyDescent="0.25">
      <c r="B45" s="24">
        <v>35</v>
      </c>
      <c r="C45" s="25" t="s">
        <v>345</v>
      </c>
      <c r="D45" s="25" t="s">
        <v>346</v>
      </c>
      <c r="E45" s="26" t="s">
        <v>188</v>
      </c>
      <c r="F45" s="25" t="s">
        <v>199</v>
      </c>
      <c r="G45" s="25" t="s">
        <v>190</v>
      </c>
      <c r="H45" s="25" t="s">
        <v>200</v>
      </c>
      <c r="I45" s="25" t="s">
        <v>347</v>
      </c>
      <c r="J45" s="25" t="s">
        <v>201</v>
      </c>
      <c r="K45" s="25" t="s">
        <v>341</v>
      </c>
      <c r="L45" s="25" t="s">
        <v>51</v>
      </c>
      <c r="M45" s="25" t="s">
        <v>63</v>
      </c>
      <c r="N45" s="25">
        <v>34</v>
      </c>
      <c r="O45" s="25" t="s">
        <v>348</v>
      </c>
      <c r="P45" s="38">
        <v>34</v>
      </c>
      <c r="Q45" s="40" t="s">
        <v>85</v>
      </c>
      <c r="R45" s="41" t="s">
        <v>64</v>
      </c>
      <c r="S45" s="29">
        <v>45658</v>
      </c>
      <c r="T45" s="29">
        <v>46022</v>
      </c>
      <c r="U45" s="120">
        <v>13</v>
      </c>
      <c r="V45" s="121">
        <v>18</v>
      </c>
      <c r="W45" s="122">
        <f>+IFERROR((U45/V45)*(U45/$P$45),0)</f>
        <v>0.27614379084967317</v>
      </c>
      <c r="X45" s="42">
        <v>0</v>
      </c>
      <c r="Y45" s="39">
        <v>17</v>
      </c>
      <c r="Z45" s="43">
        <f>+IFERROR((X45/Y45)*(X45/$P$45),0)</f>
        <v>0</v>
      </c>
      <c r="AA45" s="42">
        <v>0</v>
      </c>
      <c r="AB45" s="39">
        <v>10</v>
      </c>
      <c r="AC45" s="43">
        <f>+IFERROR((AA45/AB45)*(AA45/$P$45),0)</f>
        <v>0</v>
      </c>
      <c r="AD45" s="42">
        <v>0</v>
      </c>
      <c r="AE45" s="39">
        <v>8</v>
      </c>
      <c r="AF45" s="43">
        <f>+IFERROR((AD45/AE45)*(AD45/$P$45),0)</f>
        <v>0</v>
      </c>
      <c r="AG45" s="32">
        <f t="shared" si="2"/>
        <v>0.27614379084967317</v>
      </c>
      <c r="AH45" s="196"/>
      <c r="AI45" s="31" t="s">
        <v>198</v>
      </c>
      <c r="AJ45" s="73" t="s">
        <v>195</v>
      </c>
      <c r="AK45" s="127" t="s">
        <v>475</v>
      </c>
      <c r="AL45" s="107" t="s">
        <v>533</v>
      </c>
      <c r="AM45" s="89"/>
      <c r="AN45" s="90"/>
      <c r="AO45" s="89"/>
      <c r="AP45" s="91"/>
      <c r="AQ45" s="89"/>
      <c r="AR45" s="91"/>
    </row>
    <row r="46" spans="2:44" s="76" customFormat="1" ht="116.25" customHeight="1" thickBot="1" x14ac:dyDescent="0.25">
      <c r="B46" s="24">
        <v>36</v>
      </c>
      <c r="C46" s="25" t="s">
        <v>165</v>
      </c>
      <c r="D46" s="25" t="s">
        <v>187</v>
      </c>
      <c r="E46" s="26" t="s">
        <v>188</v>
      </c>
      <c r="F46" s="25" t="s">
        <v>202</v>
      </c>
      <c r="G46" s="25" t="s">
        <v>190</v>
      </c>
      <c r="H46" s="25" t="s">
        <v>203</v>
      </c>
      <c r="I46" s="25" t="s">
        <v>204</v>
      </c>
      <c r="J46" s="25" t="s">
        <v>205</v>
      </c>
      <c r="K46" s="25" t="s">
        <v>206</v>
      </c>
      <c r="L46" s="25" t="s">
        <v>51</v>
      </c>
      <c r="M46" s="25" t="s">
        <v>63</v>
      </c>
      <c r="N46" s="25">
        <v>1</v>
      </c>
      <c r="O46" s="25" t="s">
        <v>54</v>
      </c>
      <c r="P46" s="27">
        <v>0.9</v>
      </c>
      <c r="Q46" s="28">
        <v>0.25</v>
      </c>
      <c r="R46" s="25" t="s">
        <v>64</v>
      </c>
      <c r="S46" s="29">
        <v>45658</v>
      </c>
      <c r="T46" s="29">
        <v>46022</v>
      </c>
      <c r="U46" s="110">
        <v>3</v>
      </c>
      <c r="V46" s="108">
        <v>3</v>
      </c>
      <c r="W46" s="109">
        <f>IFERROR((U46/V46)*$Q$46,0)</f>
        <v>0.25</v>
      </c>
      <c r="X46" s="27">
        <v>0</v>
      </c>
      <c r="Y46" s="30">
        <v>3</v>
      </c>
      <c r="Z46" s="31">
        <f>IFERROR((X46/Y46)*$Q$46,0)</f>
        <v>0</v>
      </c>
      <c r="AA46" s="27">
        <v>0</v>
      </c>
      <c r="AB46" s="30">
        <v>3</v>
      </c>
      <c r="AC46" s="31">
        <f>IFERROR((AA46/AB46)*$Q$46,0)</f>
        <v>0</v>
      </c>
      <c r="AD46" s="27">
        <v>0</v>
      </c>
      <c r="AE46" s="30">
        <v>3</v>
      </c>
      <c r="AF46" s="31">
        <f>IFERROR((AD46/AE46)*$Q$46,0)</f>
        <v>0</v>
      </c>
      <c r="AG46" s="32">
        <f t="shared" si="2"/>
        <v>0.25</v>
      </c>
      <c r="AH46" s="196"/>
      <c r="AI46" s="31" t="s">
        <v>207</v>
      </c>
      <c r="AJ46" s="73" t="s">
        <v>208</v>
      </c>
      <c r="AK46" s="127" t="s">
        <v>476</v>
      </c>
      <c r="AL46" s="107" t="s">
        <v>534</v>
      </c>
      <c r="AM46" s="89"/>
      <c r="AN46" s="90"/>
      <c r="AO46" s="89"/>
      <c r="AP46" s="91"/>
      <c r="AQ46" s="89"/>
      <c r="AR46" s="91"/>
    </row>
    <row r="47" spans="2:44" s="76" customFormat="1" ht="131.25" customHeight="1" thickBot="1" x14ac:dyDescent="0.25">
      <c r="B47" s="24">
        <v>37</v>
      </c>
      <c r="C47" s="25" t="s">
        <v>165</v>
      </c>
      <c r="D47" s="25" t="s">
        <v>187</v>
      </c>
      <c r="E47" s="26" t="s">
        <v>188</v>
      </c>
      <c r="F47" s="25" t="s">
        <v>209</v>
      </c>
      <c r="G47" s="25" t="s">
        <v>210</v>
      </c>
      <c r="H47" s="25" t="s">
        <v>211</v>
      </c>
      <c r="I47" s="25" t="s">
        <v>349</v>
      </c>
      <c r="J47" s="25" t="s">
        <v>212</v>
      </c>
      <c r="K47" s="25" t="s">
        <v>213</v>
      </c>
      <c r="L47" s="25" t="s">
        <v>51</v>
      </c>
      <c r="M47" s="25" t="s">
        <v>63</v>
      </c>
      <c r="N47" s="25">
        <v>1</v>
      </c>
      <c r="O47" s="25" t="s">
        <v>54</v>
      </c>
      <c r="P47" s="27">
        <v>1</v>
      </c>
      <c r="Q47" s="28">
        <v>0.25</v>
      </c>
      <c r="R47" s="25" t="s">
        <v>64</v>
      </c>
      <c r="S47" s="29">
        <v>45658</v>
      </c>
      <c r="T47" s="29">
        <v>46022</v>
      </c>
      <c r="U47" s="110">
        <v>2</v>
      </c>
      <c r="V47" s="108">
        <v>2</v>
      </c>
      <c r="W47" s="109">
        <f>IFERROR((U47/V47)*$Q$47,0)</f>
        <v>0.25</v>
      </c>
      <c r="X47" s="27">
        <v>0</v>
      </c>
      <c r="Y47" s="30">
        <v>0</v>
      </c>
      <c r="Z47" s="31">
        <f>IFERROR((X47/Y47)*$Q$47,0)</f>
        <v>0</v>
      </c>
      <c r="AA47" s="27">
        <v>0</v>
      </c>
      <c r="AB47" s="30">
        <v>0</v>
      </c>
      <c r="AC47" s="31">
        <f>IFERROR((AA47/AB47)*$Q$47,0)</f>
        <v>0</v>
      </c>
      <c r="AD47" s="27">
        <v>0</v>
      </c>
      <c r="AE47" s="30">
        <v>0</v>
      </c>
      <c r="AF47" s="31">
        <f>IFERROR((AD47/AE47)*$Q$47,0)</f>
        <v>0</v>
      </c>
      <c r="AG47" s="32">
        <f t="shared" si="2"/>
        <v>0.25</v>
      </c>
      <c r="AH47" s="196"/>
      <c r="AI47" s="31" t="s">
        <v>207</v>
      </c>
      <c r="AJ47" s="73" t="s">
        <v>208</v>
      </c>
      <c r="AK47" s="127" t="s">
        <v>477</v>
      </c>
      <c r="AL47" s="107" t="s">
        <v>535</v>
      </c>
      <c r="AM47" s="89"/>
      <c r="AN47" s="90"/>
      <c r="AO47" s="89"/>
      <c r="AP47" s="91"/>
      <c r="AQ47" s="89"/>
      <c r="AR47" s="91"/>
    </row>
    <row r="48" spans="2:44" s="76" customFormat="1" ht="143.25" customHeight="1" thickBot="1" x14ac:dyDescent="0.25">
      <c r="B48" s="24">
        <v>38</v>
      </c>
      <c r="C48" s="25" t="s">
        <v>165</v>
      </c>
      <c r="D48" s="25" t="s">
        <v>187</v>
      </c>
      <c r="E48" s="26" t="s">
        <v>188</v>
      </c>
      <c r="F48" s="25" t="s">
        <v>214</v>
      </c>
      <c r="G48" s="25" t="s">
        <v>190</v>
      </c>
      <c r="H48" s="25" t="s">
        <v>351</v>
      </c>
      <c r="I48" s="25" t="s">
        <v>350</v>
      </c>
      <c r="J48" s="25" t="s">
        <v>352</v>
      </c>
      <c r="K48" s="25" t="s">
        <v>353</v>
      </c>
      <c r="L48" s="25" t="s">
        <v>57</v>
      </c>
      <c r="M48" s="25" t="s">
        <v>63</v>
      </c>
      <c r="N48" s="25">
        <v>2</v>
      </c>
      <c r="O48" s="25" t="s">
        <v>54</v>
      </c>
      <c r="P48" s="27">
        <v>2</v>
      </c>
      <c r="Q48" s="28">
        <v>0.5</v>
      </c>
      <c r="R48" s="25" t="s">
        <v>177</v>
      </c>
      <c r="S48" s="29">
        <v>45658</v>
      </c>
      <c r="T48" s="29">
        <v>46022</v>
      </c>
      <c r="U48" s="110">
        <v>1</v>
      </c>
      <c r="V48" s="108">
        <v>1</v>
      </c>
      <c r="W48" s="109">
        <f>IFERROR((U48/V48)*$Q$47,0)</f>
        <v>0.25</v>
      </c>
      <c r="X48" s="27" t="s">
        <v>265</v>
      </c>
      <c r="Y48" s="30" t="s">
        <v>265</v>
      </c>
      <c r="Z48" s="31" t="s">
        <v>54</v>
      </c>
      <c r="AA48" s="27">
        <v>0</v>
      </c>
      <c r="AB48" s="30">
        <v>1</v>
      </c>
      <c r="AC48" s="31">
        <f>+AA48/AB48*$Q$48</f>
        <v>0</v>
      </c>
      <c r="AD48" s="27" t="s">
        <v>265</v>
      </c>
      <c r="AE48" s="30" t="s">
        <v>172</v>
      </c>
      <c r="AF48" s="31" t="s">
        <v>54</v>
      </c>
      <c r="AG48" s="32">
        <f>+W48+AC48</f>
        <v>0.25</v>
      </c>
      <c r="AH48" s="196"/>
      <c r="AI48" s="31" t="s">
        <v>194</v>
      </c>
      <c r="AJ48" s="73" t="s">
        <v>195</v>
      </c>
      <c r="AK48" s="127" t="s">
        <v>478</v>
      </c>
      <c r="AL48" s="107" t="s">
        <v>536</v>
      </c>
      <c r="AM48" s="89"/>
      <c r="AN48" s="90"/>
      <c r="AO48" s="89"/>
      <c r="AP48" s="91"/>
      <c r="AQ48" s="89"/>
      <c r="AR48" s="91"/>
    </row>
    <row r="49" spans="2:44" s="76" customFormat="1" ht="90" customHeight="1" thickBot="1" x14ac:dyDescent="0.25">
      <c r="B49" s="24">
        <v>39</v>
      </c>
      <c r="C49" s="25" t="s">
        <v>165</v>
      </c>
      <c r="D49" s="25" t="s">
        <v>187</v>
      </c>
      <c r="E49" s="26" t="s">
        <v>188</v>
      </c>
      <c r="F49" s="25" t="s">
        <v>214</v>
      </c>
      <c r="G49" s="25" t="s">
        <v>190</v>
      </c>
      <c r="H49" s="25" t="s">
        <v>215</v>
      </c>
      <c r="I49" s="25" t="s">
        <v>354</v>
      </c>
      <c r="J49" s="25" t="s">
        <v>216</v>
      </c>
      <c r="K49" s="25" t="s">
        <v>217</v>
      </c>
      <c r="L49" s="25" t="s">
        <v>218</v>
      </c>
      <c r="M49" s="25" t="s">
        <v>63</v>
      </c>
      <c r="N49" s="25">
        <v>89</v>
      </c>
      <c r="O49" s="25" t="s">
        <v>355</v>
      </c>
      <c r="P49" s="27" t="s">
        <v>365</v>
      </c>
      <c r="Q49" s="28">
        <v>1</v>
      </c>
      <c r="R49" s="25" t="s">
        <v>53</v>
      </c>
      <c r="S49" s="29">
        <v>45658</v>
      </c>
      <c r="T49" s="29">
        <v>46022</v>
      </c>
      <c r="U49" s="110" t="s">
        <v>172</v>
      </c>
      <c r="V49" s="108" t="s">
        <v>172</v>
      </c>
      <c r="W49" s="109" t="s">
        <v>54</v>
      </c>
      <c r="X49" s="27" t="s">
        <v>265</v>
      </c>
      <c r="Y49" s="30" t="s">
        <v>265</v>
      </c>
      <c r="Z49" s="31" t="s">
        <v>54</v>
      </c>
      <c r="AA49" s="27" t="s">
        <v>265</v>
      </c>
      <c r="AB49" s="30" t="s">
        <v>172</v>
      </c>
      <c r="AC49" s="31" t="s">
        <v>54</v>
      </c>
      <c r="AD49" s="27">
        <v>0</v>
      </c>
      <c r="AE49" s="30">
        <v>90</v>
      </c>
      <c r="AF49" s="31">
        <f>IF(AD49&gt;AE49,100%,AD49%)</f>
        <v>0</v>
      </c>
      <c r="AG49" s="32">
        <f>+AF49</f>
        <v>0</v>
      </c>
      <c r="AH49" s="196"/>
      <c r="AI49" s="31" t="s">
        <v>194</v>
      </c>
      <c r="AJ49" s="73" t="s">
        <v>195</v>
      </c>
      <c r="AK49" s="127" t="s">
        <v>479</v>
      </c>
      <c r="AL49" s="107" t="s">
        <v>537</v>
      </c>
      <c r="AM49" s="89"/>
      <c r="AN49" s="90"/>
      <c r="AO49" s="89"/>
      <c r="AP49" s="91"/>
      <c r="AQ49" s="89"/>
      <c r="AR49" s="91"/>
    </row>
    <row r="50" spans="2:44" s="76" customFormat="1" ht="156" customHeight="1" thickBot="1" x14ac:dyDescent="0.25">
      <c r="B50" s="24">
        <v>40</v>
      </c>
      <c r="C50" s="25" t="s">
        <v>165</v>
      </c>
      <c r="D50" s="25" t="s">
        <v>187</v>
      </c>
      <c r="E50" s="26" t="s">
        <v>188</v>
      </c>
      <c r="F50" s="25" t="s">
        <v>214</v>
      </c>
      <c r="G50" s="25" t="s">
        <v>190</v>
      </c>
      <c r="H50" s="25" t="s">
        <v>219</v>
      </c>
      <c r="I50" s="25" t="s">
        <v>356</v>
      </c>
      <c r="J50" s="25" t="s">
        <v>220</v>
      </c>
      <c r="K50" s="25" t="s">
        <v>357</v>
      </c>
      <c r="L50" s="25" t="s">
        <v>57</v>
      </c>
      <c r="M50" s="25" t="s">
        <v>63</v>
      </c>
      <c r="N50" s="25" t="s">
        <v>54</v>
      </c>
      <c r="O50" s="25" t="s">
        <v>54</v>
      </c>
      <c r="P50" s="27">
        <v>2</v>
      </c>
      <c r="Q50" s="28">
        <v>0.5</v>
      </c>
      <c r="R50" s="25" t="s">
        <v>177</v>
      </c>
      <c r="S50" s="29">
        <v>45658</v>
      </c>
      <c r="T50" s="29">
        <v>46022</v>
      </c>
      <c r="U50" s="110">
        <v>0</v>
      </c>
      <c r="V50" s="108">
        <v>1</v>
      </c>
      <c r="W50" s="109">
        <f>IFERROR((U50/V50)*$Q$50,0)</f>
        <v>0</v>
      </c>
      <c r="X50" s="27" t="s">
        <v>265</v>
      </c>
      <c r="Y50" s="30" t="s">
        <v>265</v>
      </c>
      <c r="Z50" s="31" t="s">
        <v>54</v>
      </c>
      <c r="AA50" s="27">
        <v>0</v>
      </c>
      <c r="AB50" s="30">
        <v>1</v>
      </c>
      <c r="AC50" s="31">
        <f>IFERROR((AA50/AB50)*$Q$50,0)</f>
        <v>0</v>
      </c>
      <c r="AD50" s="27" t="s">
        <v>172</v>
      </c>
      <c r="AE50" s="30" t="s">
        <v>172</v>
      </c>
      <c r="AF50" s="31" t="s">
        <v>54</v>
      </c>
      <c r="AG50" s="32">
        <f>W50+AC50</f>
        <v>0</v>
      </c>
      <c r="AH50" s="196"/>
      <c r="AI50" s="31" t="s">
        <v>194</v>
      </c>
      <c r="AJ50" s="73" t="s">
        <v>195</v>
      </c>
      <c r="AK50" s="127" t="s">
        <v>480</v>
      </c>
      <c r="AL50" s="107" t="s">
        <v>538</v>
      </c>
      <c r="AM50" s="89"/>
      <c r="AN50" s="97"/>
      <c r="AO50" s="89"/>
      <c r="AP50" s="91"/>
      <c r="AQ50" s="89"/>
      <c r="AR50" s="91"/>
    </row>
    <row r="51" spans="2:44" s="76" customFormat="1" ht="243.75" customHeight="1" thickBot="1" x14ac:dyDescent="0.25">
      <c r="B51" s="24">
        <v>41</v>
      </c>
      <c r="C51" s="25" t="s">
        <v>221</v>
      </c>
      <c r="D51" s="25" t="s">
        <v>222</v>
      </c>
      <c r="E51" s="26" t="s">
        <v>223</v>
      </c>
      <c r="F51" s="25" t="s">
        <v>224</v>
      </c>
      <c r="G51" s="25" t="s">
        <v>225</v>
      </c>
      <c r="H51" s="25" t="s">
        <v>226</v>
      </c>
      <c r="I51" s="25" t="s">
        <v>227</v>
      </c>
      <c r="J51" s="25" t="s">
        <v>228</v>
      </c>
      <c r="K51" s="25" t="s">
        <v>372</v>
      </c>
      <c r="L51" s="25" t="s">
        <v>51</v>
      </c>
      <c r="M51" s="25" t="s">
        <v>83</v>
      </c>
      <c r="N51" s="25" t="s">
        <v>54</v>
      </c>
      <c r="O51" s="25" t="s">
        <v>54</v>
      </c>
      <c r="P51" s="33">
        <v>1</v>
      </c>
      <c r="Q51" s="28">
        <v>0.25</v>
      </c>
      <c r="R51" s="25" t="s">
        <v>64</v>
      </c>
      <c r="S51" s="29">
        <v>45658</v>
      </c>
      <c r="T51" s="29">
        <v>46022</v>
      </c>
      <c r="U51" s="123">
        <f>2537911611+3083227630+4457528227</f>
        <v>10078667468</v>
      </c>
      <c r="V51" s="123">
        <f>2807722021+4593000000+4423000000</f>
        <v>11823722021</v>
      </c>
      <c r="W51" s="109">
        <f>IFERROR((U51/V51)*$Q$51,0)</f>
        <v>0.21310268141663374</v>
      </c>
      <c r="X51" s="36">
        <v>0</v>
      </c>
      <c r="Y51" s="36">
        <v>0</v>
      </c>
      <c r="Z51" s="31">
        <f>IFERROR((X51/Y51)*$Q$51,0)</f>
        <v>0</v>
      </c>
      <c r="AA51" s="27">
        <v>0</v>
      </c>
      <c r="AB51" s="30">
        <v>0</v>
      </c>
      <c r="AC51" s="31">
        <f>IFERROR((AA51/AB51)*$Q$51,0)</f>
        <v>0</v>
      </c>
      <c r="AD51" s="27">
        <v>0</v>
      </c>
      <c r="AE51" s="30">
        <v>0</v>
      </c>
      <c r="AF51" s="31">
        <f>IFERROR((AD51/AE51)*$Q$51,0)</f>
        <v>0</v>
      </c>
      <c r="AG51" s="32">
        <f t="shared" ref="AG51:AG58" si="3">+W51+Z51+AC51+AF51</f>
        <v>0.21310268141663374</v>
      </c>
      <c r="AH51" s="222">
        <f>+(AG51+AG52+AG53+AG54+AG55+AG56+AG57)/7</f>
        <v>0.20240256070560056</v>
      </c>
      <c r="AI51" s="31" t="s">
        <v>134</v>
      </c>
      <c r="AJ51" s="73" t="s">
        <v>229</v>
      </c>
      <c r="AK51" s="127" t="s">
        <v>481</v>
      </c>
      <c r="AL51" s="107" t="s">
        <v>500</v>
      </c>
      <c r="AM51" s="89"/>
      <c r="AN51" s="97"/>
      <c r="AO51" s="95"/>
      <c r="AP51" s="91"/>
      <c r="AQ51" s="104"/>
      <c r="AR51" s="91"/>
    </row>
    <row r="52" spans="2:44" s="76" customFormat="1" ht="128.25" customHeight="1" thickBot="1" x14ac:dyDescent="0.25">
      <c r="B52" s="24">
        <v>42</v>
      </c>
      <c r="C52" s="25" t="s">
        <v>221</v>
      </c>
      <c r="D52" s="25" t="s">
        <v>222</v>
      </c>
      <c r="E52" s="26" t="s">
        <v>223</v>
      </c>
      <c r="F52" s="25" t="s">
        <v>224</v>
      </c>
      <c r="G52" s="25" t="s">
        <v>225</v>
      </c>
      <c r="H52" s="25" t="s">
        <v>226</v>
      </c>
      <c r="I52" s="25" t="s">
        <v>230</v>
      </c>
      <c r="J52" s="25" t="s">
        <v>231</v>
      </c>
      <c r="K52" s="25" t="s">
        <v>373</v>
      </c>
      <c r="L52" s="25" t="s">
        <v>51</v>
      </c>
      <c r="M52" s="25" t="s">
        <v>83</v>
      </c>
      <c r="N52" s="25" t="s">
        <v>54</v>
      </c>
      <c r="O52" s="25" t="s">
        <v>54</v>
      </c>
      <c r="P52" s="33">
        <v>1</v>
      </c>
      <c r="Q52" s="28">
        <v>0.25</v>
      </c>
      <c r="R52" s="25" t="s">
        <v>64</v>
      </c>
      <c r="S52" s="29">
        <v>45658</v>
      </c>
      <c r="T52" s="29">
        <v>46022</v>
      </c>
      <c r="U52" s="123">
        <f>2000917169+3803257655+5664178909</f>
        <v>11468353733</v>
      </c>
      <c r="V52" s="123">
        <f>2807722021+4593000000+4423000000</f>
        <v>11823722021</v>
      </c>
      <c r="W52" s="109">
        <f>+IFERROR((U52/V52)*$Q$52,0)</f>
        <v>0.24248611631411762</v>
      </c>
      <c r="X52" s="36">
        <v>0</v>
      </c>
      <c r="Y52" s="36">
        <v>0</v>
      </c>
      <c r="Z52" s="31">
        <f>+IFERROR((X52/Y52)*$Q$52,0)</f>
        <v>0</v>
      </c>
      <c r="AA52" s="27">
        <v>0</v>
      </c>
      <c r="AB52" s="30">
        <v>0</v>
      </c>
      <c r="AC52" s="31">
        <f>+IFERROR((AA52/AB52)*$Q$52,0)</f>
        <v>0</v>
      </c>
      <c r="AD52" s="27">
        <v>0</v>
      </c>
      <c r="AE52" s="30">
        <v>0</v>
      </c>
      <c r="AF52" s="31">
        <f>+IFERROR((AD52/AE52)*$Q$52,0)</f>
        <v>0</v>
      </c>
      <c r="AG52" s="32">
        <f t="shared" si="3"/>
        <v>0.24248611631411762</v>
      </c>
      <c r="AH52" s="222"/>
      <c r="AI52" s="31" t="s">
        <v>134</v>
      </c>
      <c r="AJ52" s="73" t="s">
        <v>229</v>
      </c>
      <c r="AK52" s="127" t="s">
        <v>482</v>
      </c>
      <c r="AL52" s="107" t="s">
        <v>501</v>
      </c>
      <c r="AM52" s="89"/>
      <c r="AN52" s="90"/>
      <c r="AO52" s="95"/>
      <c r="AP52" s="91"/>
      <c r="AQ52" s="101"/>
      <c r="AR52" s="91"/>
    </row>
    <row r="53" spans="2:44" s="76" customFormat="1" ht="187.5" customHeight="1" thickBot="1" x14ac:dyDescent="0.25">
      <c r="B53" s="24">
        <v>43</v>
      </c>
      <c r="C53" s="25" t="s">
        <v>221</v>
      </c>
      <c r="D53" s="25" t="s">
        <v>222</v>
      </c>
      <c r="E53" s="26" t="s">
        <v>223</v>
      </c>
      <c r="F53" s="25" t="s">
        <v>224</v>
      </c>
      <c r="G53" s="25" t="s">
        <v>225</v>
      </c>
      <c r="H53" s="25" t="s">
        <v>232</v>
      </c>
      <c r="I53" s="25" t="s">
        <v>233</v>
      </c>
      <c r="J53" s="25" t="s">
        <v>234</v>
      </c>
      <c r="K53" s="25" t="s">
        <v>235</v>
      </c>
      <c r="L53" s="25" t="s">
        <v>51</v>
      </c>
      <c r="M53" s="25" t="s">
        <v>52</v>
      </c>
      <c r="N53" s="25" t="s">
        <v>54</v>
      </c>
      <c r="O53" s="25" t="s">
        <v>236</v>
      </c>
      <c r="P53" s="33">
        <v>1</v>
      </c>
      <c r="Q53" s="28">
        <v>0.25</v>
      </c>
      <c r="R53" s="25" t="s">
        <v>64</v>
      </c>
      <c r="S53" s="29">
        <v>45658</v>
      </c>
      <c r="T53" s="29">
        <v>46022</v>
      </c>
      <c r="U53" s="110">
        <v>4</v>
      </c>
      <c r="V53" s="108">
        <v>4</v>
      </c>
      <c r="W53" s="109">
        <f>+IFERROR((U53/V53)*$Q$53,0)</f>
        <v>0.25</v>
      </c>
      <c r="X53" s="27">
        <v>0</v>
      </c>
      <c r="Y53" s="30">
        <v>0</v>
      </c>
      <c r="Z53" s="31">
        <f>+IFERROR((X53/Y53)*$Q$53,0)</f>
        <v>0</v>
      </c>
      <c r="AA53" s="27">
        <v>0</v>
      </c>
      <c r="AB53" s="30">
        <v>0</v>
      </c>
      <c r="AC53" s="31">
        <f>+IFERROR((AA53/AB53)*$Q$53,0)</f>
        <v>0</v>
      </c>
      <c r="AD53" s="27">
        <v>0</v>
      </c>
      <c r="AE53" s="30">
        <v>0</v>
      </c>
      <c r="AF53" s="31">
        <f>+IFERROR((AD53/AE53)*$Q$53,0)</f>
        <v>0</v>
      </c>
      <c r="AG53" s="32">
        <f t="shared" si="3"/>
        <v>0.25</v>
      </c>
      <c r="AH53" s="222"/>
      <c r="AI53" s="31" t="s">
        <v>134</v>
      </c>
      <c r="AJ53" s="73" t="s">
        <v>229</v>
      </c>
      <c r="AK53" s="127" t="s">
        <v>483</v>
      </c>
      <c r="AL53" s="107" t="s">
        <v>502</v>
      </c>
      <c r="AM53" s="89"/>
      <c r="AN53" s="90"/>
      <c r="AO53" s="95"/>
      <c r="AP53" s="91"/>
      <c r="AQ53" s="104"/>
      <c r="AR53" s="91"/>
    </row>
    <row r="54" spans="2:44" s="76" customFormat="1" ht="189" customHeight="1" thickBot="1" x14ac:dyDescent="0.25">
      <c r="B54" s="24">
        <v>44</v>
      </c>
      <c r="C54" s="25" t="s">
        <v>221</v>
      </c>
      <c r="D54" s="25" t="s">
        <v>222</v>
      </c>
      <c r="E54" s="26" t="s">
        <v>223</v>
      </c>
      <c r="F54" s="25" t="s">
        <v>224</v>
      </c>
      <c r="G54" s="25" t="s">
        <v>225</v>
      </c>
      <c r="H54" s="25" t="s">
        <v>374</v>
      </c>
      <c r="I54" s="25" t="s">
        <v>375</v>
      </c>
      <c r="J54" s="25" t="s">
        <v>376</v>
      </c>
      <c r="K54" s="25" t="s">
        <v>377</v>
      </c>
      <c r="L54" s="25" t="s">
        <v>237</v>
      </c>
      <c r="M54" s="25" t="s">
        <v>83</v>
      </c>
      <c r="N54" s="25" t="s">
        <v>54</v>
      </c>
      <c r="O54" s="25" t="s">
        <v>54</v>
      </c>
      <c r="P54" s="33">
        <v>1</v>
      </c>
      <c r="Q54" s="28">
        <v>0.25</v>
      </c>
      <c r="R54" s="25" t="s">
        <v>64</v>
      </c>
      <c r="S54" s="29">
        <v>45658</v>
      </c>
      <c r="T54" s="29">
        <v>46022</v>
      </c>
      <c r="U54" s="110">
        <v>2</v>
      </c>
      <c r="V54" s="108">
        <v>3</v>
      </c>
      <c r="W54" s="109">
        <f>+IFERROR((U54/V54)*$Q$54,0)</f>
        <v>0.16666666666666666</v>
      </c>
      <c r="X54" s="27">
        <v>0</v>
      </c>
      <c r="Y54" s="30">
        <v>0</v>
      </c>
      <c r="Z54" s="31">
        <f>+IFERROR((X54/Y54)*$Q$54,0)</f>
        <v>0</v>
      </c>
      <c r="AA54" s="27">
        <v>0</v>
      </c>
      <c r="AB54" s="30">
        <v>0</v>
      </c>
      <c r="AC54" s="31">
        <f>+IFERROR((AA54/AB54)*$Q$54,0)</f>
        <v>0</v>
      </c>
      <c r="AD54" s="27">
        <v>0</v>
      </c>
      <c r="AE54" s="30">
        <v>0</v>
      </c>
      <c r="AF54" s="31">
        <f>+IFERROR((AD54/AE54)*$Q$54,0)</f>
        <v>0</v>
      </c>
      <c r="AG54" s="32">
        <f t="shared" si="3"/>
        <v>0.16666666666666666</v>
      </c>
      <c r="AH54" s="222"/>
      <c r="AI54" s="31" t="s">
        <v>134</v>
      </c>
      <c r="AJ54" s="73" t="s">
        <v>229</v>
      </c>
      <c r="AK54" s="127" t="s">
        <v>484</v>
      </c>
      <c r="AL54" s="107" t="s">
        <v>503</v>
      </c>
      <c r="AM54" s="89"/>
      <c r="AN54" s="97"/>
      <c r="AO54" s="95"/>
      <c r="AP54" s="91"/>
      <c r="AQ54" s="104"/>
      <c r="AR54" s="91"/>
    </row>
    <row r="55" spans="2:44" s="76" customFormat="1" ht="165.75" customHeight="1" thickBot="1" x14ac:dyDescent="0.25">
      <c r="B55" s="24">
        <v>45</v>
      </c>
      <c r="C55" s="25" t="s">
        <v>221</v>
      </c>
      <c r="D55" s="25" t="s">
        <v>222</v>
      </c>
      <c r="E55" s="26" t="s">
        <v>223</v>
      </c>
      <c r="F55" s="25" t="s">
        <v>238</v>
      </c>
      <c r="G55" s="25" t="s">
        <v>239</v>
      </c>
      <c r="H55" s="25" t="s">
        <v>240</v>
      </c>
      <c r="I55" s="25" t="s">
        <v>241</v>
      </c>
      <c r="J55" s="25" t="s">
        <v>242</v>
      </c>
      <c r="K55" s="25" t="s">
        <v>243</v>
      </c>
      <c r="L55" s="25" t="s">
        <v>237</v>
      </c>
      <c r="M55" s="25" t="s">
        <v>83</v>
      </c>
      <c r="N55" s="25" t="s">
        <v>378</v>
      </c>
      <c r="O55" s="25" t="s">
        <v>244</v>
      </c>
      <c r="P55" s="33">
        <v>0.95</v>
      </c>
      <c r="Q55" s="28">
        <v>0.25</v>
      </c>
      <c r="R55" s="25" t="s">
        <v>64</v>
      </c>
      <c r="S55" s="29">
        <v>45658</v>
      </c>
      <c r="T55" s="29">
        <v>46022</v>
      </c>
      <c r="U55" s="123">
        <f>2530698623+3060049949+3828927555</f>
        <v>9419676127</v>
      </c>
      <c r="V55" s="123">
        <f>2807722021+4593000000+4423000000</f>
        <v>11823722021</v>
      </c>
      <c r="W55" s="109">
        <f>IFERROR((U55/V55)*$Q$55,0)</f>
        <v>0.19916901188707337</v>
      </c>
      <c r="X55" s="36">
        <v>0</v>
      </c>
      <c r="Y55" s="36">
        <v>0</v>
      </c>
      <c r="Z55" s="31">
        <f>IFERROR((X55/Y55)*$Q$55,0)</f>
        <v>0</v>
      </c>
      <c r="AA55" s="27">
        <v>0</v>
      </c>
      <c r="AB55" s="30">
        <v>0</v>
      </c>
      <c r="AC55" s="31">
        <f>IFERROR((AA55/AB55)*$Q$55,0)</f>
        <v>0</v>
      </c>
      <c r="AD55" s="27">
        <v>0</v>
      </c>
      <c r="AE55" s="30">
        <v>0</v>
      </c>
      <c r="AF55" s="31">
        <f>IFERROR((AD55/AE55)*$Q$55,0)</f>
        <v>0</v>
      </c>
      <c r="AG55" s="32">
        <f t="shared" si="3"/>
        <v>0.19916901188707337</v>
      </c>
      <c r="AH55" s="222"/>
      <c r="AI55" s="31" t="s">
        <v>134</v>
      </c>
      <c r="AJ55" s="73" t="s">
        <v>229</v>
      </c>
      <c r="AK55" s="127" t="s">
        <v>485</v>
      </c>
      <c r="AL55" s="107" t="s">
        <v>504</v>
      </c>
      <c r="AM55" s="89"/>
      <c r="AN55" s="96"/>
      <c r="AO55" s="95"/>
      <c r="AP55" s="91"/>
      <c r="AQ55" s="104"/>
      <c r="AR55" s="91"/>
    </row>
    <row r="56" spans="2:44" s="76" customFormat="1" ht="198.75" customHeight="1" thickBot="1" x14ac:dyDescent="0.25">
      <c r="B56" s="24">
        <v>46</v>
      </c>
      <c r="C56" s="25" t="s">
        <v>221</v>
      </c>
      <c r="D56" s="25" t="s">
        <v>222</v>
      </c>
      <c r="E56" s="26" t="s">
        <v>223</v>
      </c>
      <c r="F56" s="25" t="s">
        <v>238</v>
      </c>
      <c r="G56" s="25" t="s">
        <v>239</v>
      </c>
      <c r="H56" s="25" t="s">
        <v>245</v>
      </c>
      <c r="I56" s="25" t="s">
        <v>246</v>
      </c>
      <c r="J56" s="25" t="s">
        <v>247</v>
      </c>
      <c r="K56" s="25" t="s">
        <v>248</v>
      </c>
      <c r="L56" s="25" t="s">
        <v>237</v>
      </c>
      <c r="M56" s="25" t="s">
        <v>83</v>
      </c>
      <c r="N56" s="25" t="s">
        <v>378</v>
      </c>
      <c r="O56" s="25" t="s">
        <v>244</v>
      </c>
      <c r="P56" s="33">
        <v>0.95</v>
      </c>
      <c r="Q56" s="28">
        <v>0.25</v>
      </c>
      <c r="R56" s="25" t="s">
        <v>64</v>
      </c>
      <c r="S56" s="29">
        <v>45658</v>
      </c>
      <c r="T56" s="29">
        <v>46022</v>
      </c>
      <c r="U56" s="123">
        <f>692176638+2471714992+2192282421</f>
        <v>5356174051</v>
      </c>
      <c r="V56" s="123">
        <f>2807722021+4593000000+4423000000</f>
        <v>11823722021</v>
      </c>
      <c r="W56" s="109">
        <f>+IFERROR((U56/V56)*$Q$55,0)</f>
        <v>0.11325059151185536</v>
      </c>
      <c r="X56" s="36">
        <v>0</v>
      </c>
      <c r="Y56" s="36">
        <v>0</v>
      </c>
      <c r="Z56" s="31">
        <f>+IFERROR((X56/Y56)*$Q$55,0)</f>
        <v>0</v>
      </c>
      <c r="AA56" s="27">
        <v>0</v>
      </c>
      <c r="AB56" s="30">
        <v>0</v>
      </c>
      <c r="AC56" s="31">
        <f>+IFERROR((AA56/AB56)*$Q$55,0)</f>
        <v>0</v>
      </c>
      <c r="AD56" s="27">
        <v>0</v>
      </c>
      <c r="AE56" s="30">
        <v>0</v>
      </c>
      <c r="AF56" s="31">
        <f>+IFERROR((AD56/AE56)*$Q$55,0)</f>
        <v>0</v>
      </c>
      <c r="AG56" s="32">
        <f>+W56+Z56+AC56+AF56</f>
        <v>0.11325059151185536</v>
      </c>
      <c r="AH56" s="222"/>
      <c r="AI56" s="31" t="s">
        <v>134</v>
      </c>
      <c r="AJ56" s="73" t="s">
        <v>229</v>
      </c>
      <c r="AK56" s="127" t="s">
        <v>486</v>
      </c>
      <c r="AL56" s="107" t="s">
        <v>505</v>
      </c>
      <c r="AM56" s="89"/>
      <c r="AN56" s="96"/>
      <c r="AO56" s="95"/>
      <c r="AP56" s="91"/>
      <c r="AQ56" s="104"/>
      <c r="AR56" s="91"/>
    </row>
    <row r="57" spans="2:44" s="76" customFormat="1" ht="171.75" customHeight="1" thickBot="1" x14ac:dyDescent="0.25">
      <c r="B57" s="24">
        <v>46</v>
      </c>
      <c r="C57" s="25" t="s">
        <v>221</v>
      </c>
      <c r="D57" s="25" t="s">
        <v>222</v>
      </c>
      <c r="E57" s="26" t="s">
        <v>223</v>
      </c>
      <c r="F57" s="25" t="s">
        <v>238</v>
      </c>
      <c r="G57" s="25" t="s">
        <v>239</v>
      </c>
      <c r="H57" s="25" t="s">
        <v>371</v>
      </c>
      <c r="I57" s="25" t="s">
        <v>367</v>
      </c>
      <c r="J57" s="25" t="s">
        <v>368</v>
      </c>
      <c r="K57" s="25" t="s">
        <v>379</v>
      </c>
      <c r="L57" s="25" t="s">
        <v>237</v>
      </c>
      <c r="M57" s="25" t="s">
        <v>83</v>
      </c>
      <c r="N57" s="25" t="s">
        <v>54</v>
      </c>
      <c r="O57" s="25" t="s">
        <v>369</v>
      </c>
      <c r="P57" s="33">
        <v>0.75</v>
      </c>
      <c r="Q57" s="28">
        <v>0.25</v>
      </c>
      <c r="R57" s="25" t="s">
        <v>64</v>
      </c>
      <c r="S57" s="29">
        <v>45658</v>
      </c>
      <c r="T57" s="29" t="s">
        <v>370</v>
      </c>
      <c r="U57" s="123">
        <v>39</v>
      </c>
      <c r="V57" s="123">
        <v>42</v>
      </c>
      <c r="W57" s="109">
        <f>+IFERROR((U57/V57)*$Q$57,0)</f>
        <v>0.23214285714285715</v>
      </c>
      <c r="X57" s="36">
        <v>0</v>
      </c>
      <c r="Y57" s="36">
        <v>0</v>
      </c>
      <c r="Z57" s="31">
        <f>+IFERROR((X57/Y57)*$Q$57,0)</f>
        <v>0</v>
      </c>
      <c r="AA57" s="27">
        <v>0</v>
      </c>
      <c r="AB57" s="30">
        <v>0</v>
      </c>
      <c r="AC57" s="31">
        <f>+IFERROR((AA57/AB57)*$Q$57,0)</f>
        <v>0</v>
      </c>
      <c r="AD57" s="27">
        <v>0</v>
      </c>
      <c r="AE57" s="30">
        <v>0</v>
      </c>
      <c r="AF57" s="31">
        <f>+IFERROR((AD57/AE57)*$Q$57,0)</f>
        <v>0</v>
      </c>
      <c r="AG57" s="32">
        <f t="shared" si="3"/>
        <v>0.23214285714285715</v>
      </c>
      <c r="AH57" s="222"/>
      <c r="AI57" s="31" t="s">
        <v>134</v>
      </c>
      <c r="AJ57" s="73" t="s">
        <v>229</v>
      </c>
      <c r="AK57" s="127" t="s">
        <v>487</v>
      </c>
      <c r="AL57" s="107" t="s">
        <v>506</v>
      </c>
      <c r="AM57" s="93"/>
      <c r="AN57" s="105"/>
      <c r="AO57" s="95"/>
      <c r="AP57" s="91"/>
      <c r="AQ57" s="104"/>
      <c r="AR57" s="91"/>
    </row>
    <row r="58" spans="2:44" s="54" customFormat="1" ht="201" customHeight="1" thickBot="1" x14ac:dyDescent="0.25">
      <c r="B58" s="44">
        <v>47</v>
      </c>
      <c r="C58" s="45" t="s">
        <v>165</v>
      </c>
      <c r="D58" s="45" t="s">
        <v>166</v>
      </c>
      <c r="E58" s="46" t="s">
        <v>249</v>
      </c>
      <c r="F58" s="45" t="s">
        <v>250</v>
      </c>
      <c r="G58" s="45" t="s">
        <v>251</v>
      </c>
      <c r="H58" s="45" t="s">
        <v>308</v>
      </c>
      <c r="I58" s="45" t="s">
        <v>309</v>
      </c>
      <c r="J58" s="45" t="s">
        <v>405</v>
      </c>
      <c r="K58" s="45" t="s">
        <v>406</v>
      </c>
      <c r="L58" s="45" t="s">
        <v>57</v>
      </c>
      <c r="M58" s="45" t="s">
        <v>52</v>
      </c>
      <c r="N58" s="45" t="s">
        <v>407</v>
      </c>
      <c r="O58" s="45" t="s">
        <v>252</v>
      </c>
      <c r="P58" s="47">
        <v>6000</v>
      </c>
      <c r="Q58" s="48">
        <v>0.25</v>
      </c>
      <c r="R58" s="45" t="s">
        <v>256</v>
      </c>
      <c r="S58" s="49">
        <v>45658</v>
      </c>
      <c r="T58" s="49">
        <v>46022</v>
      </c>
      <c r="U58" s="114">
        <v>1202</v>
      </c>
      <c r="V58" s="113">
        <v>1800</v>
      </c>
      <c r="W58" s="112">
        <f>IFERROR((U58/V58)*$Q$58,0)</f>
        <v>0.16694444444444445</v>
      </c>
      <c r="X58" s="47">
        <v>0</v>
      </c>
      <c r="Y58" s="50">
        <v>0</v>
      </c>
      <c r="Z58" s="51">
        <f>IFERROR((X58/Y58)*$Q$58,0)</f>
        <v>0</v>
      </c>
      <c r="AA58" s="47">
        <v>0</v>
      </c>
      <c r="AB58" s="50">
        <v>0</v>
      </c>
      <c r="AC58" s="51">
        <f>IFERROR((AA58/AB58)*$Q$58,0)</f>
        <v>0</v>
      </c>
      <c r="AD58" s="47">
        <v>0</v>
      </c>
      <c r="AE58" s="50">
        <v>0</v>
      </c>
      <c r="AF58" s="51">
        <f>IFERROR((AD58/AE58)*$Q$58,0)</f>
        <v>0</v>
      </c>
      <c r="AG58" s="52">
        <f t="shared" si="3"/>
        <v>0.16694444444444445</v>
      </c>
      <c r="AH58" s="224">
        <f>+(AG58+AG59+AG60)/3</f>
        <v>5.5648148148148148E-2</v>
      </c>
      <c r="AI58" s="51" t="s">
        <v>77</v>
      </c>
      <c r="AJ58" s="74" t="s">
        <v>253</v>
      </c>
      <c r="AK58" s="127" t="s">
        <v>597</v>
      </c>
      <c r="AL58" s="107" t="s">
        <v>601</v>
      </c>
      <c r="AM58" s="93"/>
      <c r="AN58" s="97"/>
      <c r="AO58" s="95"/>
      <c r="AP58" s="91"/>
      <c r="AQ58" s="104"/>
      <c r="AR58" s="91"/>
    </row>
    <row r="59" spans="2:44" s="54" customFormat="1" ht="172.5" customHeight="1" thickBot="1" x14ac:dyDescent="0.25">
      <c r="B59" s="44">
        <v>48</v>
      </c>
      <c r="C59" s="45" t="s">
        <v>165</v>
      </c>
      <c r="D59" s="45" t="s">
        <v>166</v>
      </c>
      <c r="E59" s="46" t="s">
        <v>254</v>
      </c>
      <c r="F59" s="45" t="s">
        <v>250</v>
      </c>
      <c r="G59" s="45" t="s">
        <v>251</v>
      </c>
      <c r="H59" s="45" t="s">
        <v>310</v>
      </c>
      <c r="I59" s="45" t="s">
        <v>311</v>
      </c>
      <c r="J59" s="45" t="s">
        <v>408</v>
      </c>
      <c r="K59" s="45" t="s">
        <v>409</v>
      </c>
      <c r="L59" s="45" t="s">
        <v>57</v>
      </c>
      <c r="M59" s="45" t="s">
        <v>52</v>
      </c>
      <c r="N59" s="45" t="s">
        <v>255</v>
      </c>
      <c r="O59" s="45" t="s">
        <v>54</v>
      </c>
      <c r="P59" s="47">
        <v>2</v>
      </c>
      <c r="Q59" s="48">
        <v>0.5</v>
      </c>
      <c r="R59" s="45" t="s">
        <v>101</v>
      </c>
      <c r="S59" s="49">
        <v>45658</v>
      </c>
      <c r="T59" s="49">
        <v>46022</v>
      </c>
      <c r="U59" s="114" t="s">
        <v>172</v>
      </c>
      <c r="V59" s="113" t="s">
        <v>172</v>
      </c>
      <c r="W59" s="112" t="s">
        <v>54</v>
      </c>
      <c r="X59" s="47">
        <v>0</v>
      </c>
      <c r="Y59" s="50">
        <v>1</v>
      </c>
      <c r="Z59" s="51">
        <f>+(X59/Y59)*$Q$59</f>
        <v>0</v>
      </c>
      <c r="AA59" s="47" t="s">
        <v>172</v>
      </c>
      <c r="AB59" s="50" t="s">
        <v>172</v>
      </c>
      <c r="AC59" s="51" t="s">
        <v>54</v>
      </c>
      <c r="AD59" s="47">
        <v>0</v>
      </c>
      <c r="AE59" s="50">
        <v>1</v>
      </c>
      <c r="AF59" s="51">
        <f>+(AD59/AE59)*$Q$59</f>
        <v>0</v>
      </c>
      <c r="AG59" s="52">
        <f>+Z59+AF59</f>
        <v>0</v>
      </c>
      <c r="AH59" s="225"/>
      <c r="AI59" s="51" t="s">
        <v>77</v>
      </c>
      <c r="AJ59" s="74" t="s">
        <v>253</v>
      </c>
      <c r="AK59" s="127" t="s">
        <v>598</v>
      </c>
      <c r="AL59" s="107" t="s">
        <v>602</v>
      </c>
      <c r="AM59" s="93"/>
      <c r="AN59" s="90"/>
      <c r="AO59" s="95"/>
      <c r="AP59" s="91"/>
      <c r="AQ59" s="104"/>
      <c r="AR59" s="91"/>
    </row>
    <row r="60" spans="2:44" s="54" customFormat="1" ht="110.25" customHeight="1" thickBot="1" x14ac:dyDescent="0.25">
      <c r="B60" s="44">
        <v>49</v>
      </c>
      <c r="C60" s="45" t="s">
        <v>165</v>
      </c>
      <c r="D60" s="45" t="s">
        <v>166</v>
      </c>
      <c r="E60" s="46" t="s">
        <v>254</v>
      </c>
      <c r="F60" s="45" t="s">
        <v>250</v>
      </c>
      <c r="G60" s="45" t="s">
        <v>251</v>
      </c>
      <c r="H60" s="45" t="s">
        <v>404</v>
      </c>
      <c r="I60" s="45" t="s">
        <v>410</v>
      </c>
      <c r="J60" s="45" t="s">
        <v>411</v>
      </c>
      <c r="K60" s="45" t="s">
        <v>412</v>
      </c>
      <c r="L60" s="45" t="s">
        <v>51</v>
      </c>
      <c r="M60" s="45" t="s">
        <v>52</v>
      </c>
      <c r="N60" s="45" t="s">
        <v>170</v>
      </c>
      <c r="O60" s="45" t="s">
        <v>54</v>
      </c>
      <c r="P60" s="55" t="s">
        <v>413</v>
      </c>
      <c r="Q60" s="48">
        <v>0.5</v>
      </c>
      <c r="R60" s="45" t="s">
        <v>177</v>
      </c>
      <c r="S60" s="49">
        <v>45658</v>
      </c>
      <c r="T60" s="49">
        <v>46022</v>
      </c>
      <c r="U60" s="124" t="s">
        <v>172</v>
      </c>
      <c r="V60" s="125" t="s">
        <v>172</v>
      </c>
      <c r="W60" s="112" t="s">
        <v>54</v>
      </c>
      <c r="X60" s="47">
        <v>0</v>
      </c>
      <c r="Y60" s="50">
        <v>0</v>
      </c>
      <c r="Z60" s="51">
        <f>IFERROR((X60/Y60)*$Q$60,0)</f>
        <v>0</v>
      </c>
      <c r="AA60" s="47" t="s">
        <v>265</v>
      </c>
      <c r="AB60" s="50" t="s">
        <v>172</v>
      </c>
      <c r="AC60" s="51" t="s">
        <v>54</v>
      </c>
      <c r="AD60" s="47">
        <v>0</v>
      </c>
      <c r="AE60" s="50">
        <v>0</v>
      </c>
      <c r="AF60" s="51">
        <f>IFERROR((AD60/AE60)*$Q$60,0)</f>
        <v>0</v>
      </c>
      <c r="AG60" s="52">
        <f>Z60+AF60</f>
        <v>0</v>
      </c>
      <c r="AH60" s="223"/>
      <c r="AI60" s="51" t="s">
        <v>77</v>
      </c>
      <c r="AJ60" s="74" t="s">
        <v>253</v>
      </c>
      <c r="AK60" s="127" t="s">
        <v>599</v>
      </c>
      <c r="AL60" s="107" t="s">
        <v>603</v>
      </c>
      <c r="AM60" s="94"/>
      <c r="AN60" s="90"/>
      <c r="AO60" s="89"/>
      <c r="AP60" s="91"/>
      <c r="AQ60" s="89"/>
      <c r="AR60" s="91"/>
    </row>
    <row r="61" spans="2:44" s="54" customFormat="1" ht="107.25" customHeight="1" thickBot="1" x14ac:dyDescent="0.25">
      <c r="B61" s="44">
        <v>50</v>
      </c>
      <c r="C61" s="45" t="s">
        <v>257</v>
      </c>
      <c r="D61" s="45" t="s">
        <v>45</v>
      </c>
      <c r="E61" s="46" t="s">
        <v>258</v>
      </c>
      <c r="F61" s="45" t="s">
        <v>259</v>
      </c>
      <c r="G61" s="45" t="s">
        <v>260</v>
      </c>
      <c r="H61" s="45" t="s">
        <v>261</v>
      </c>
      <c r="I61" s="45" t="s">
        <v>291</v>
      </c>
      <c r="J61" s="45" t="s">
        <v>262</v>
      </c>
      <c r="K61" s="45" t="s">
        <v>290</v>
      </c>
      <c r="L61" s="45" t="s">
        <v>57</v>
      </c>
      <c r="M61" s="45" t="s">
        <v>263</v>
      </c>
      <c r="N61" s="45" t="s">
        <v>289</v>
      </c>
      <c r="O61" s="45" t="s">
        <v>264</v>
      </c>
      <c r="P61" s="47">
        <v>11</v>
      </c>
      <c r="Q61" s="48" t="s">
        <v>85</v>
      </c>
      <c r="R61" s="45" t="s">
        <v>292</v>
      </c>
      <c r="S61" s="49">
        <v>45658</v>
      </c>
      <c r="T61" s="49">
        <v>46022</v>
      </c>
      <c r="U61" s="124">
        <v>0</v>
      </c>
      <c r="V61" s="125">
        <v>0</v>
      </c>
      <c r="W61" s="112">
        <f>+IFERROR((U61/V61)*(U61/$P$61),0)</f>
        <v>0</v>
      </c>
      <c r="X61" s="45">
        <v>0</v>
      </c>
      <c r="Y61" s="53">
        <v>0</v>
      </c>
      <c r="Z61" s="51">
        <f>+IFERROR((X61/Y61)*(X61/$P$61),0)</f>
        <v>0</v>
      </c>
      <c r="AA61" s="47">
        <v>0</v>
      </c>
      <c r="AB61" s="50">
        <v>0</v>
      </c>
      <c r="AC61" s="51">
        <f>+IFERROR((AA61/AB61)*(AA61/$P$61),0)</f>
        <v>0</v>
      </c>
      <c r="AD61" s="47">
        <v>0</v>
      </c>
      <c r="AE61" s="50">
        <v>0</v>
      </c>
      <c r="AF61" s="51">
        <f>+IFERROR((AD61/AE61)*(AD61/$P$61),0)</f>
        <v>0</v>
      </c>
      <c r="AG61" s="52">
        <f>IF(Z61+AC61+AF6+W61&gt;100%,100%,Z61+AC61+AF6+W61)</f>
        <v>0</v>
      </c>
      <c r="AH61" s="223">
        <f>+(AG61+AG62+AG63+AG64+AG65+AG66)/6</f>
        <v>0.10487117552334944</v>
      </c>
      <c r="AI61" s="51" t="s">
        <v>266</v>
      </c>
      <c r="AJ61" s="74" t="s">
        <v>266</v>
      </c>
      <c r="AK61" s="127" t="s">
        <v>507</v>
      </c>
      <c r="AL61" s="107" t="s">
        <v>513</v>
      </c>
      <c r="AM61" s="94"/>
      <c r="AN61" s="90"/>
      <c r="AO61" s="89"/>
      <c r="AP61" s="91"/>
      <c r="AQ61" s="89"/>
      <c r="AR61" s="91"/>
    </row>
    <row r="62" spans="2:44" s="54" customFormat="1" ht="112.5" customHeight="1" thickBot="1" x14ac:dyDescent="0.25">
      <c r="B62" s="44">
        <v>51</v>
      </c>
      <c r="C62" s="45" t="s">
        <v>257</v>
      </c>
      <c r="D62" s="45" t="s">
        <v>45</v>
      </c>
      <c r="E62" s="46" t="s">
        <v>258</v>
      </c>
      <c r="F62" s="45" t="s">
        <v>259</v>
      </c>
      <c r="G62" s="45" t="s">
        <v>260</v>
      </c>
      <c r="H62" s="45" t="s">
        <v>267</v>
      </c>
      <c r="I62" s="45" t="s">
        <v>268</v>
      </c>
      <c r="J62" s="45" t="s">
        <v>269</v>
      </c>
      <c r="K62" s="45" t="s">
        <v>293</v>
      </c>
      <c r="L62" s="45" t="s">
        <v>57</v>
      </c>
      <c r="M62" s="45" t="s">
        <v>263</v>
      </c>
      <c r="N62" s="45" t="s">
        <v>294</v>
      </c>
      <c r="O62" s="45" t="s">
        <v>295</v>
      </c>
      <c r="P62" s="47">
        <v>2</v>
      </c>
      <c r="Q62" s="48">
        <v>0.5</v>
      </c>
      <c r="R62" s="45" t="s">
        <v>270</v>
      </c>
      <c r="S62" s="49">
        <v>45658</v>
      </c>
      <c r="T62" s="49">
        <v>46022</v>
      </c>
      <c r="U62" s="114">
        <v>0</v>
      </c>
      <c r="V62" s="113">
        <v>0</v>
      </c>
      <c r="W62" s="112">
        <f>IFERROR((U62/V62)*$Q$62,0)</f>
        <v>0</v>
      </c>
      <c r="X62" s="47" t="s">
        <v>172</v>
      </c>
      <c r="Y62" s="50" t="s">
        <v>172</v>
      </c>
      <c r="Z62" s="51" t="s">
        <v>54</v>
      </c>
      <c r="AA62" s="47">
        <v>0</v>
      </c>
      <c r="AB62" s="50">
        <v>0</v>
      </c>
      <c r="AC62" s="51">
        <f>IFERROR((AA62/AB62)*$Q$62,0)</f>
        <v>0</v>
      </c>
      <c r="AD62" s="47" t="s">
        <v>265</v>
      </c>
      <c r="AE62" s="50" t="s">
        <v>172</v>
      </c>
      <c r="AF62" s="51" t="s">
        <v>170</v>
      </c>
      <c r="AG62" s="52">
        <f>+W62+AC62</f>
        <v>0</v>
      </c>
      <c r="AH62" s="223"/>
      <c r="AI62" s="51" t="s">
        <v>266</v>
      </c>
      <c r="AJ62" s="74" t="s">
        <v>266</v>
      </c>
      <c r="AK62" s="127" t="s">
        <v>508</v>
      </c>
      <c r="AL62" s="107" t="s">
        <v>514</v>
      </c>
      <c r="AM62" s="94"/>
      <c r="AN62" s="90"/>
      <c r="AO62" s="89"/>
      <c r="AP62" s="91"/>
      <c r="AQ62" s="89"/>
      <c r="AR62" s="91"/>
    </row>
    <row r="63" spans="2:44" s="54" customFormat="1" ht="226.5" customHeight="1" thickBot="1" x14ac:dyDescent="0.25">
      <c r="B63" s="44">
        <v>52</v>
      </c>
      <c r="C63" s="45" t="s">
        <v>257</v>
      </c>
      <c r="D63" s="45" t="s">
        <v>45</v>
      </c>
      <c r="E63" s="46" t="s">
        <v>258</v>
      </c>
      <c r="F63" s="45" t="s">
        <v>259</v>
      </c>
      <c r="G63" s="45" t="s">
        <v>260</v>
      </c>
      <c r="H63" s="45" t="s">
        <v>296</v>
      </c>
      <c r="I63" s="45" t="s">
        <v>297</v>
      </c>
      <c r="J63" s="45" t="s">
        <v>271</v>
      </c>
      <c r="K63" s="45" t="s">
        <v>298</v>
      </c>
      <c r="L63" s="45" t="s">
        <v>57</v>
      </c>
      <c r="M63" s="45" t="s">
        <v>272</v>
      </c>
      <c r="N63" s="45" t="s">
        <v>273</v>
      </c>
      <c r="O63" s="45" t="s">
        <v>274</v>
      </c>
      <c r="P63" s="47">
        <v>9</v>
      </c>
      <c r="Q63" s="48">
        <v>0.25</v>
      </c>
      <c r="R63" s="45" t="s">
        <v>275</v>
      </c>
      <c r="S63" s="49">
        <v>45658</v>
      </c>
      <c r="T63" s="49">
        <v>46022</v>
      </c>
      <c r="U63" s="114">
        <v>7</v>
      </c>
      <c r="V63" s="113">
        <v>9</v>
      </c>
      <c r="W63" s="112">
        <f>+IFERROR((U63/V63)*($Q$63),0)</f>
        <v>0.19444444444444445</v>
      </c>
      <c r="X63" s="47">
        <v>0</v>
      </c>
      <c r="Y63" s="50">
        <v>0</v>
      </c>
      <c r="Z63" s="51">
        <f>+IFERROR((X63/Y63)*($Q$63),0)</f>
        <v>0</v>
      </c>
      <c r="AA63" s="47">
        <v>0</v>
      </c>
      <c r="AB63" s="50">
        <v>0</v>
      </c>
      <c r="AC63" s="51">
        <f>+IFERROR((AA63/AB63)*($Q$63),0)</f>
        <v>0</v>
      </c>
      <c r="AD63" s="47">
        <v>0</v>
      </c>
      <c r="AE63" s="50">
        <v>0</v>
      </c>
      <c r="AF63" s="51">
        <f>+IFERROR((AD63/AE63)*($Q$63),0)</f>
        <v>0</v>
      </c>
      <c r="AG63" s="52">
        <f>+W63+Z63+AC63+AF63</f>
        <v>0.19444444444444445</v>
      </c>
      <c r="AH63" s="223"/>
      <c r="AI63" s="51" t="s">
        <v>266</v>
      </c>
      <c r="AJ63" s="74" t="s">
        <v>266</v>
      </c>
      <c r="AK63" s="127" t="s">
        <v>509</v>
      </c>
      <c r="AL63" s="133" t="s">
        <v>515</v>
      </c>
      <c r="AM63" s="94"/>
      <c r="AN63" s="90"/>
      <c r="AO63" s="89"/>
      <c r="AP63" s="91"/>
      <c r="AQ63" s="89"/>
      <c r="AR63" s="91"/>
    </row>
    <row r="64" spans="2:44" s="54" customFormat="1" ht="173.25" customHeight="1" thickBot="1" x14ac:dyDescent="0.25">
      <c r="B64" s="44">
        <v>53</v>
      </c>
      <c r="C64" s="45" t="s">
        <v>539</v>
      </c>
      <c r="D64" s="45" t="s">
        <v>45</v>
      </c>
      <c r="E64" s="46" t="s">
        <v>258</v>
      </c>
      <c r="F64" s="45" t="s">
        <v>259</v>
      </c>
      <c r="G64" s="45" t="s">
        <v>260</v>
      </c>
      <c r="H64" s="45" t="s">
        <v>276</v>
      </c>
      <c r="I64" s="45" t="s">
        <v>299</v>
      </c>
      <c r="J64" s="45" t="s">
        <v>277</v>
      </c>
      <c r="K64" s="45" t="s">
        <v>300</v>
      </c>
      <c r="L64" s="45" t="s">
        <v>51</v>
      </c>
      <c r="M64" s="45" t="s">
        <v>263</v>
      </c>
      <c r="N64" s="45" t="s">
        <v>54</v>
      </c>
      <c r="O64" s="45" t="s">
        <v>278</v>
      </c>
      <c r="P64" s="55" t="s">
        <v>279</v>
      </c>
      <c r="Q64" s="48">
        <v>0.25</v>
      </c>
      <c r="R64" s="45" t="s">
        <v>275</v>
      </c>
      <c r="S64" s="49">
        <v>45658</v>
      </c>
      <c r="T64" s="49">
        <v>46022</v>
      </c>
      <c r="U64" s="114">
        <v>17</v>
      </c>
      <c r="V64" s="113">
        <v>23</v>
      </c>
      <c r="W64" s="112">
        <f>+IFERROR((U64/V64)*($Q$64),0)</f>
        <v>0.18478260869565216</v>
      </c>
      <c r="X64" s="47">
        <v>0</v>
      </c>
      <c r="Y64" s="50">
        <v>1</v>
      </c>
      <c r="Z64" s="51">
        <f>+IFERROR((X64/Y64)*($Q$64),0)</f>
        <v>0</v>
      </c>
      <c r="AA64" s="47">
        <v>0</v>
      </c>
      <c r="AB64" s="50">
        <v>1</v>
      </c>
      <c r="AC64" s="51">
        <f>+IFERROR((AA64/AB64)*($Q$64),0)</f>
        <v>0</v>
      </c>
      <c r="AD64" s="47">
        <v>0</v>
      </c>
      <c r="AE64" s="50">
        <v>1</v>
      </c>
      <c r="AF64" s="51">
        <f>+IFERROR((AD64/AE64)*($Q$64),0)</f>
        <v>0</v>
      </c>
      <c r="AG64" s="52">
        <f>+W64+Z64+AC64+AF64</f>
        <v>0.18478260869565216</v>
      </c>
      <c r="AH64" s="223"/>
      <c r="AI64" s="51" t="s">
        <v>266</v>
      </c>
      <c r="AJ64" s="74" t="s">
        <v>266</v>
      </c>
      <c r="AK64" s="127" t="s">
        <v>510</v>
      </c>
      <c r="AL64" s="134" t="s">
        <v>604</v>
      </c>
      <c r="AM64" s="94"/>
      <c r="AN64" s="90"/>
      <c r="AO64" s="89"/>
      <c r="AP64" s="91"/>
      <c r="AQ64" s="89"/>
      <c r="AR64" s="91"/>
    </row>
    <row r="65" spans="2:44" s="54" customFormat="1" ht="165" customHeight="1" thickBot="1" x14ac:dyDescent="0.25">
      <c r="B65" s="44">
        <v>54</v>
      </c>
      <c r="C65" s="45" t="s">
        <v>257</v>
      </c>
      <c r="D65" s="45" t="s">
        <v>45</v>
      </c>
      <c r="E65" s="46" t="s">
        <v>258</v>
      </c>
      <c r="F65" s="45" t="s">
        <v>259</v>
      </c>
      <c r="G65" s="45" t="s">
        <v>260</v>
      </c>
      <c r="H65" s="45" t="s">
        <v>280</v>
      </c>
      <c r="I65" s="45" t="s">
        <v>301</v>
      </c>
      <c r="J65" s="45" t="s">
        <v>281</v>
      </c>
      <c r="K65" s="45" t="s">
        <v>302</v>
      </c>
      <c r="L65" s="45" t="s">
        <v>57</v>
      </c>
      <c r="M65" s="45" t="s">
        <v>263</v>
      </c>
      <c r="N65" s="45">
        <v>4</v>
      </c>
      <c r="O65" s="45" t="s">
        <v>303</v>
      </c>
      <c r="P65" s="47">
        <v>4</v>
      </c>
      <c r="Q65" s="48">
        <v>0.25</v>
      </c>
      <c r="R65" s="45" t="s">
        <v>275</v>
      </c>
      <c r="S65" s="49">
        <v>45658</v>
      </c>
      <c r="T65" s="49">
        <v>46022</v>
      </c>
      <c r="U65" s="114">
        <v>0</v>
      </c>
      <c r="V65" s="113">
        <v>1</v>
      </c>
      <c r="W65" s="112">
        <f>+IFERROR((U65/V65)*$Q$65,0)</f>
        <v>0</v>
      </c>
      <c r="X65" s="47">
        <v>0</v>
      </c>
      <c r="Y65" s="50">
        <v>1</v>
      </c>
      <c r="Z65" s="51">
        <f>+IFERROR((X65/Y65)*$Q$65,0)</f>
        <v>0</v>
      </c>
      <c r="AA65" s="47">
        <v>0</v>
      </c>
      <c r="AB65" s="50">
        <v>1</v>
      </c>
      <c r="AC65" s="51">
        <f>+IFERROR((AA65/AB65)*$Q$65,0)</f>
        <v>0</v>
      </c>
      <c r="AD65" s="47">
        <v>0</v>
      </c>
      <c r="AE65" s="50">
        <v>1</v>
      </c>
      <c r="AF65" s="51">
        <f>+IFERROR((AD65/AE65)*$Q$65,0)</f>
        <v>0</v>
      </c>
      <c r="AG65" s="52">
        <f>+W65+Z65+AC65+AF65</f>
        <v>0</v>
      </c>
      <c r="AH65" s="223"/>
      <c r="AI65" s="51" t="s">
        <v>266</v>
      </c>
      <c r="AJ65" s="74" t="s">
        <v>266</v>
      </c>
      <c r="AK65" s="127" t="s">
        <v>511</v>
      </c>
      <c r="AL65" s="106" t="s">
        <v>516</v>
      </c>
      <c r="AM65" s="94"/>
      <c r="AN65" s="90"/>
      <c r="AO65" s="89"/>
      <c r="AP65" s="91"/>
      <c r="AQ65" s="89"/>
      <c r="AR65" s="91"/>
    </row>
    <row r="66" spans="2:44" s="54" customFormat="1" ht="117.75" customHeight="1" thickBot="1" x14ac:dyDescent="0.25">
      <c r="B66" s="44">
        <v>55</v>
      </c>
      <c r="C66" s="45" t="s">
        <v>257</v>
      </c>
      <c r="D66" s="45" t="s">
        <v>45</v>
      </c>
      <c r="E66" s="46" t="s">
        <v>258</v>
      </c>
      <c r="F66" s="45" t="s">
        <v>259</v>
      </c>
      <c r="G66" s="45" t="s">
        <v>260</v>
      </c>
      <c r="H66" s="45" t="s">
        <v>304</v>
      </c>
      <c r="I66" s="45" t="s">
        <v>305</v>
      </c>
      <c r="J66" s="45" t="s">
        <v>282</v>
      </c>
      <c r="K66" s="45" t="s">
        <v>306</v>
      </c>
      <c r="L66" s="45" t="s">
        <v>57</v>
      </c>
      <c r="M66" s="45" t="s">
        <v>263</v>
      </c>
      <c r="N66" s="45" t="s">
        <v>307</v>
      </c>
      <c r="O66" s="45" t="s">
        <v>283</v>
      </c>
      <c r="P66" s="47">
        <v>12</v>
      </c>
      <c r="Q66" s="48">
        <v>0.25</v>
      </c>
      <c r="R66" s="45" t="s">
        <v>58</v>
      </c>
      <c r="S66" s="49">
        <v>45658</v>
      </c>
      <c r="T66" s="49">
        <v>46022</v>
      </c>
      <c r="U66" s="114">
        <v>3</v>
      </c>
      <c r="V66" s="113">
        <v>3</v>
      </c>
      <c r="W66" s="112">
        <f>+IFERROR((U66/V66)*$Q$66,0)</f>
        <v>0.25</v>
      </c>
      <c r="X66" s="47">
        <v>0</v>
      </c>
      <c r="Y66" s="50">
        <v>3</v>
      </c>
      <c r="Z66" s="51">
        <f>+IFERROR((X66/Y66)*$Q$66,0)</f>
        <v>0</v>
      </c>
      <c r="AA66" s="47">
        <v>0</v>
      </c>
      <c r="AB66" s="50">
        <v>3</v>
      </c>
      <c r="AC66" s="51">
        <f>+IFERROR((AA66/AB66)*$Q$66,0)</f>
        <v>0</v>
      </c>
      <c r="AD66" s="47">
        <v>0</v>
      </c>
      <c r="AE66" s="50">
        <v>3</v>
      </c>
      <c r="AF66" s="51">
        <f>+IFERROR((AD66/AE66)*$Q$66,0)</f>
        <v>0</v>
      </c>
      <c r="AG66" s="52">
        <f>+W66+Z66+AC66+AF66</f>
        <v>0.25</v>
      </c>
      <c r="AH66" s="223"/>
      <c r="AI66" s="51" t="s">
        <v>266</v>
      </c>
      <c r="AJ66" s="51" t="s">
        <v>266</v>
      </c>
      <c r="AK66" s="127" t="s">
        <v>512</v>
      </c>
      <c r="AL66" s="134" t="s">
        <v>517</v>
      </c>
      <c r="AM66" s="94"/>
      <c r="AN66" s="90"/>
      <c r="AO66" s="89"/>
      <c r="AP66" s="91"/>
      <c r="AQ66" s="89"/>
      <c r="AR66" s="91"/>
    </row>
    <row r="67" spans="2:44" ht="15" customHeight="1" x14ac:dyDescent="0.25">
      <c r="AH67" s="37"/>
    </row>
    <row r="68" spans="2:44" ht="27" customHeight="1" x14ac:dyDescent="0.3">
      <c r="B68" s="240" t="s">
        <v>605</v>
      </c>
      <c r="C68" s="240"/>
      <c r="D68" s="240"/>
      <c r="E68" s="240"/>
      <c r="AG68" s="241">
        <f>AVERAGE(AG11:AG66)</f>
        <v>0.17176161067155063</v>
      </c>
      <c r="AH68" s="241">
        <f>AVERAGE(AH11:AH66)</f>
        <v>0.17237247233968334</v>
      </c>
    </row>
    <row r="69" spans="2:44" ht="15" customHeight="1" x14ac:dyDescent="0.25"/>
    <row r="70" spans="2:44" ht="15" hidden="1" customHeight="1" x14ac:dyDescent="0.25"/>
    <row r="71" spans="2:44" ht="15" hidden="1" customHeight="1" x14ac:dyDescent="0.25"/>
    <row r="72" spans="2:44" ht="15" hidden="1" customHeight="1" x14ac:dyDescent="0.25"/>
  </sheetData>
  <mergeCells count="33">
    <mergeCell ref="B68:E68"/>
    <mergeCell ref="AH22:AH24"/>
    <mergeCell ref="AH25:AH28"/>
    <mergeCell ref="AH15:AH18"/>
    <mergeCell ref="AH19:AH21"/>
    <mergeCell ref="AH29:AH31"/>
    <mergeCell ref="AH61:AH66"/>
    <mergeCell ref="AH58:AH60"/>
    <mergeCell ref="AH32:AH36"/>
    <mergeCell ref="AH37:AH42"/>
    <mergeCell ref="AH43:AH50"/>
    <mergeCell ref="AH51:AH57"/>
    <mergeCell ref="AD9:AF9"/>
    <mergeCell ref="AK2:AL2"/>
    <mergeCell ref="AK3:AL3"/>
    <mergeCell ref="AH11:AH14"/>
    <mergeCell ref="AG9:AH9"/>
    <mergeCell ref="AK4:AL4"/>
    <mergeCell ref="S6:AL6"/>
    <mergeCell ref="S7:AL7"/>
    <mergeCell ref="AK9:AR9"/>
    <mergeCell ref="G2:AJ3"/>
    <mergeCell ref="G4:AJ4"/>
    <mergeCell ref="E6:Q6"/>
    <mergeCell ref="E7:Q7"/>
    <mergeCell ref="B2:F4"/>
    <mergeCell ref="AI9:AJ9"/>
    <mergeCell ref="R9:T9"/>
    <mergeCell ref="U9:W9"/>
    <mergeCell ref="H9:Q9"/>
    <mergeCell ref="B9:G9"/>
    <mergeCell ref="X9:Z9"/>
    <mergeCell ref="AA9:AC9"/>
  </mergeCells>
  <dataValidations count="1">
    <dataValidation type="list" allowBlank="1" showErrorMessage="1" sqref="M15:M28 M31:M36 M43 M58:M66" xr:uid="{00000000-0002-0000-0000-000000000000}">
      <formula1>#REF!</formula1>
      <formula2>0</formula2>
    </dataValidation>
  </dataValidations>
  <pageMargins left="0.70833333333333304" right="0.70833333333333304" top="0.74791666666666701" bottom="0.74791666666666701" header="0.511811023622047" footer="0.511811023622047"/>
  <pageSetup paperSize="9" orientation="landscape" horizontalDpi="300" verticalDpi="300"/>
  <ignoredErrors>
    <ignoredError sqref="AG40 AG25 Z33 AC33 AF33 AG35"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F6F7CD-F1D8-4E04-8FE2-DF1D8DD2C959}">
  <dimension ref="B1:L10"/>
  <sheetViews>
    <sheetView topLeftCell="A3" zoomScale="90" zoomScaleNormal="90" workbookViewId="0">
      <selection activeCell="G10" sqref="G10"/>
    </sheetView>
  </sheetViews>
  <sheetFormatPr baseColWidth="10" defaultColWidth="10.85546875" defaultRowHeight="14.25" x14ac:dyDescent="0.2"/>
  <cols>
    <col min="1" max="1" width="10.85546875" style="135"/>
    <col min="2" max="2" width="46.42578125" style="135" customWidth="1"/>
    <col min="3" max="6" width="10.85546875" style="135"/>
    <col min="7" max="7" width="16.7109375" style="135" customWidth="1"/>
    <col min="8" max="8" width="6" style="135" customWidth="1"/>
    <col min="9" max="12" width="54" style="135" customWidth="1"/>
    <col min="13" max="16384" width="10.85546875" style="135"/>
  </cols>
  <sheetData>
    <row r="1" spans="2:12" ht="15" thickBot="1" x14ac:dyDescent="0.25"/>
    <row r="2" spans="2:12" ht="15.75" thickBot="1" x14ac:dyDescent="0.3">
      <c r="B2" s="236" t="s">
        <v>586</v>
      </c>
      <c r="C2" s="236"/>
      <c r="D2" s="236"/>
      <c r="E2" s="236"/>
      <c r="F2" s="236"/>
      <c r="G2" s="236"/>
      <c r="I2" s="236" t="s">
        <v>563</v>
      </c>
      <c r="J2" s="236"/>
      <c r="K2" s="236"/>
      <c r="L2" s="236"/>
    </row>
    <row r="3" spans="2:12" ht="45.75" thickBot="1" x14ac:dyDescent="0.25">
      <c r="B3" s="159" t="s">
        <v>564</v>
      </c>
      <c r="C3" s="159" t="s">
        <v>565</v>
      </c>
      <c r="D3" s="159" t="s">
        <v>566</v>
      </c>
      <c r="E3" s="159" t="s">
        <v>567</v>
      </c>
      <c r="F3" s="159" t="s">
        <v>568</v>
      </c>
      <c r="G3" s="159" t="s">
        <v>581</v>
      </c>
      <c r="I3" s="160" t="s">
        <v>569</v>
      </c>
      <c r="J3" s="160" t="s">
        <v>570</v>
      </c>
      <c r="K3" s="160" t="s">
        <v>571</v>
      </c>
      <c r="L3" s="160" t="s">
        <v>572</v>
      </c>
    </row>
    <row r="4" spans="2:12" ht="117.75" customHeight="1" thickBot="1" x14ac:dyDescent="0.25">
      <c r="B4" s="182" t="str">
        <f>+'Plan de acción 2025'!H37</f>
        <v>Elaborar el  Plan Anual de mantenimiento de la infraestructura física  de la entidad y realizar el seguimiento de acuerdo al cronograma de actividades planteado</v>
      </c>
      <c r="C4" s="185">
        <f>IF('Plan de acción 2025'!W37="N/A",0,'Plan de acción 2025'!W37)</f>
        <v>0.25</v>
      </c>
      <c r="D4" s="185">
        <f>IF('Plan de acción 2025'!Z37="N/A",0,'Plan de acción 2025'!Z37)</f>
        <v>0</v>
      </c>
      <c r="E4" s="185">
        <f>IF('Plan de acción 2025'!AC37="N/A",0,'Plan de acción 2025'!AC37)</f>
        <v>0</v>
      </c>
      <c r="F4" s="185">
        <f>IF('Plan de acción 2025'!AF37="N/A",0,'Plan de acción 2025'!AF37)</f>
        <v>0</v>
      </c>
      <c r="G4" s="183">
        <f t="shared" ref="G4:G9" si="0">SUMIF(C4:F4,"&gt;0",C4:F4)</f>
        <v>0.25</v>
      </c>
      <c r="I4" s="187" t="str">
        <f>+'Plan de acción 2025'!AL37</f>
        <v>El indicador cumple con las actividades programadas para el trimestre. Según las evidencias presentadas por el proceso, se registran tres contratos con fecha de inicio del 17 de enero para servicios generales en la CSC, así como un contrato general para servicios de aseo y cafetería con fecha de inicio del 5 de marzo.
Sin embargo, se observa que durante los primeros meses del año no se evidenció el suministro del servicio de cafetería en las instalaciones, lo que podría afectar la continuidad del servicio esperado por los funcionarios.
Se recomienda al proceso dar continuidad a este tipo de contrataciones, asegurando la prestación oportuna y constante de los servicios, para mantener el orden, la limpieza y el bienestar en las instalaciones de la entidad.</v>
      </c>
      <c r="J4" s="187"/>
      <c r="K4" s="187"/>
      <c r="L4" s="187"/>
    </row>
    <row r="5" spans="2:12" ht="108.75" customHeight="1" thickBot="1" x14ac:dyDescent="0.25">
      <c r="B5" s="182" t="str">
        <f>+'Plan de acción 2025'!H38</f>
        <v>Informe semestral de seguimiento a la Inspección preoperativa del parque automotor de la Entidad</v>
      </c>
      <c r="C5" s="185">
        <f>IF('Plan de acción 2025'!W38="N/A",0,'Plan de acción 2025'!W38)</f>
        <v>0</v>
      </c>
      <c r="D5" s="185">
        <f>IF('Plan de acción 2025'!Z38="N/A",0,'Plan de acción 2025'!Z38)</f>
        <v>0</v>
      </c>
      <c r="E5" s="185" t="str">
        <f>IF('Plan de acción 2025'!AC38="N/A",0,'Plan de acción 2025'!AC38)</f>
        <v>NA</v>
      </c>
      <c r="F5" s="185">
        <f>IF('Plan de acción 2025'!AF38="N/A",0,'Plan de acción 2025'!AF38)</f>
        <v>0</v>
      </c>
      <c r="G5" s="185">
        <f t="shared" si="0"/>
        <v>0</v>
      </c>
      <c r="I5" s="187" t="str">
        <f>+'Plan de acción 2025'!AL38</f>
        <v>El indicador no presenta seguimiento para este trimestre, ya que su medición se realiza de forma semestral. Sin embargo, se destaca la gestión realizada por el proceso para adelantar la contratación del mantenimiento del parque automotor.
Se recomienda al proceso realizar seguimientos periódicos al estado de los vehículos de la entidad, con el fin de garantizar su buen funcionamiento y prevenir posibles fallas que puedan afectar la operatividad institucional.</v>
      </c>
      <c r="J5" s="187"/>
      <c r="K5" s="187"/>
      <c r="L5" s="187"/>
    </row>
    <row r="6" spans="2:12" ht="72" customHeight="1" thickBot="1" x14ac:dyDescent="0.25">
      <c r="B6" s="182" t="str">
        <f>+'Plan de acción 2025'!H39</f>
        <v>Entregar oportunamente los elementos de papelería y consumo indicados en las solicitudes recibidas.</v>
      </c>
      <c r="C6" s="185">
        <f>IF('Plan de acción 2025'!W39="N/A",0,'Plan de acción 2025'!W39)</f>
        <v>0.25</v>
      </c>
      <c r="D6" s="185">
        <f>IF('Plan de acción 2025'!Z39="N/A",0,'Plan de acción 2025'!Z39)</f>
        <v>0</v>
      </c>
      <c r="E6" s="185">
        <f>IF('Plan de acción 2025'!AC39="N/A",0,'Plan de acción 2025'!AC39)</f>
        <v>0</v>
      </c>
      <c r="F6" s="185">
        <f>IF('Plan de acción 2025'!AF39="N/A",0,'Plan de acción 2025'!AF39)</f>
        <v>0</v>
      </c>
      <c r="G6" s="185">
        <f t="shared" si="0"/>
        <v>0.25</v>
      </c>
      <c r="I6" s="187" t="str">
        <f>+'Plan de acción 2025'!AL39</f>
        <v>Anexar las evidencias de las 18 solicitudes del almacén</v>
      </c>
      <c r="J6" s="187"/>
      <c r="K6" s="187"/>
      <c r="L6" s="187"/>
    </row>
    <row r="7" spans="2:12" ht="82.5" customHeight="1" thickBot="1" x14ac:dyDescent="0.25">
      <c r="B7" s="182" t="str">
        <f>+'Plan de acción 2025'!H40</f>
        <v>Actualizar semestralmente los inventarios  individuales de los funcionarios de la Entidad, los cuales deben estar firmados por el funcionario responsable.</v>
      </c>
      <c r="C7" s="185">
        <f>IF('Plan de acción 2025'!W40="N/A",0,'Plan de acción 2025'!W40)</f>
        <v>0</v>
      </c>
      <c r="D7" s="185">
        <f>IF('Plan de acción 2025'!Z40="N/A",0,'Plan de acción 2025'!Z40)</f>
        <v>0</v>
      </c>
      <c r="E7" s="185">
        <f>IF('Plan de acción 2025'!AC40="N/A",0,'Plan de acción 2025'!AC40)</f>
        <v>0</v>
      </c>
      <c r="F7" s="185">
        <f>IF('Plan de acción 2025'!AF40="N/A",0,'Plan de acción 2025'!AF40)</f>
        <v>0</v>
      </c>
      <c r="G7" s="185">
        <f t="shared" si="0"/>
        <v>0</v>
      </c>
      <c r="I7" s="187" t="str">
        <f>+'Plan de acción 2025'!AL40</f>
        <v>El indicador no presenta seguimiento durante este trimestre, ya que su medición está programada de forma semestral. Se recomienda al proceso iniciar con anticipación el levantamiento de la información de los inventarios, con el fin de cumplir oportunamente con los tiempos establecidos y las actividades programadas, evitando retrasos en el próximo seguimiento.</v>
      </c>
      <c r="J7" s="187"/>
      <c r="K7" s="187"/>
      <c r="L7" s="187"/>
    </row>
    <row r="8" spans="2:12" ht="72" customHeight="1" thickBot="1" x14ac:dyDescent="0.25">
      <c r="B8" s="182" t="str">
        <f>+'Plan de acción 2025'!H41</f>
        <v xml:space="preserve">Verificar los elementos de consumo y devolutivos de acuerdo al reporte generado por Novasoft frente al físico. </v>
      </c>
      <c r="C8" s="185">
        <f>IF('Plan de acción 2025'!W41="N/A",0,'Plan de acción 2025'!W41)</f>
        <v>0.25</v>
      </c>
      <c r="D8" s="185">
        <f>IF('Plan de acción 2025'!Z41="N/A",0,'Plan de acción 2025'!Z41)</f>
        <v>0</v>
      </c>
      <c r="E8" s="185">
        <f>IF('Plan de acción 2025'!AC41="N/A",0,'Plan de acción 2025'!AC41)</f>
        <v>0</v>
      </c>
      <c r="F8" s="185">
        <f>IF('Plan de acción 2025'!AF41="N/A",0,'Plan de acción 2025'!AF41)</f>
        <v>0</v>
      </c>
      <c r="G8" s="185">
        <f t="shared" si="0"/>
        <v>0.25</v>
      </c>
      <c r="I8" s="187" t="str">
        <f>+'Plan de acción 2025'!AL41</f>
        <v>Revisar cuales serían los inventarios físicos</v>
      </c>
      <c r="J8" s="187"/>
      <c r="K8" s="187"/>
      <c r="L8" s="187"/>
    </row>
    <row r="9" spans="2:12" ht="72" customHeight="1" thickBot="1" x14ac:dyDescent="0.25">
      <c r="B9" s="182" t="str">
        <f>+'Plan de acción 2025'!H42</f>
        <v>Actualizar el Plan institucional de Gestión Ambiental,  publicarlo en la página web de la Entidad y realizar seguimiento a las actividades</v>
      </c>
      <c r="C9" s="185">
        <f>IF('Plan de acción 2025'!W42="N/A",0,'Plan de acción 2025'!W42)</f>
        <v>3.125E-2</v>
      </c>
      <c r="D9" s="185">
        <f>IF('Plan de acción 2025'!Z42="N/A",0,'Plan de acción 2025'!Z42)</f>
        <v>0</v>
      </c>
      <c r="E9" s="185">
        <f>IF('Plan de acción 2025'!AC42="N/A",0,'Plan de acción 2025'!AC42)</f>
        <v>0</v>
      </c>
      <c r="F9" s="185">
        <f>IF('Plan de acción 2025'!AF42="N/A",0,'Plan de acción 2025'!AF42)</f>
        <v>0</v>
      </c>
      <c r="G9" s="185">
        <f t="shared" si="0"/>
        <v>3.125E-2</v>
      </c>
      <c r="I9" s="188" t="str">
        <f>+'Plan de acción 2025'!AL42</f>
        <v>El cronograma de actividades del piga, presenta 8 actividades, de las cuales solo se realizo 1</v>
      </c>
      <c r="J9" s="188"/>
      <c r="K9" s="188"/>
      <c r="L9" s="188"/>
    </row>
    <row r="10" spans="2:12" ht="36" customHeight="1" thickBot="1" x14ac:dyDescent="0.25">
      <c r="B10" s="173" t="s">
        <v>573</v>
      </c>
      <c r="C10" s="157">
        <f>AVERAGE(C4:C9)</f>
        <v>0.13020833333333334</v>
      </c>
      <c r="D10" s="157">
        <f>AVERAGE(D4:D9)</f>
        <v>0</v>
      </c>
      <c r="E10" s="157">
        <f>AVERAGE(E4:E9)</f>
        <v>0</v>
      </c>
      <c r="F10" s="157">
        <f>AVERAGE(F4:F9)</f>
        <v>0</v>
      </c>
      <c r="G10" s="157">
        <f>AVERAGE(G4:G9)</f>
        <v>0.13020833333333334</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98E36E-8360-491B-B7A3-C94BEFF20936}">
  <dimension ref="B1:L12"/>
  <sheetViews>
    <sheetView topLeftCell="A7" zoomScale="90" zoomScaleNormal="90" workbookViewId="0">
      <selection activeCell="C11" sqref="C11"/>
    </sheetView>
  </sheetViews>
  <sheetFormatPr baseColWidth="10" defaultColWidth="10.85546875" defaultRowHeight="14.25" x14ac:dyDescent="0.2"/>
  <cols>
    <col min="1" max="1" width="5" style="135" customWidth="1"/>
    <col min="2" max="2" width="48.7109375" style="135" customWidth="1"/>
    <col min="3" max="6" width="10.85546875" style="135"/>
    <col min="7" max="7" width="15.42578125" style="135" customWidth="1"/>
    <col min="8" max="8" width="6" style="135" customWidth="1"/>
    <col min="9" max="12" width="60.28515625" style="135" customWidth="1"/>
    <col min="13" max="16384" width="10.85546875" style="135"/>
  </cols>
  <sheetData>
    <row r="1" spans="2:12" ht="15" thickBot="1" x14ac:dyDescent="0.25"/>
    <row r="2" spans="2:12" ht="16.5" thickBot="1" x14ac:dyDescent="0.3">
      <c r="B2" s="237" t="s">
        <v>587</v>
      </c>
      <c r="C2" s="237"/>
      <c r="D2" s="237"/>
      <c r="E2" s="237"/>
      <c r="F2" s="237"/>
      <c r="G2" s="237"/>
      <c r="I2" s="237" t="s">
        <v>563</v>
      </c>
      <c r="J2" s="237"/>
      <c r="K2" s="237"/>
      <c r="L2" s="237"/>
    </row>
    <row r="3" spans="2:12" ht="45.75" thickBot="1" x14ac:dyDescent="0.25">
      <c r="B3" s="159" t="s">
        <v>564</v>
      </c>
      <c r="C3" s="159" t="s">
        <v>565</v>
      </c>
      <c r="D3" s="159" t="s">
        <v>566</v>
      </c>
      <c r="E3" s="159" t="s">
        <v>567</v>
      </c>
      <c r="F3" s="159" t="s">
        <v>568</v>
      </c>
      <c r="G3" s="159" t="s">
        <v>581</v>
      </c>
      <c r="I3" s="160" t="s">
        <v>569</v>
      </c>
      <c r="J3" s="160" t="s">
        <v>570</v>
      </c>
      <c r="K3" s="160" t="s">
        <v>571</v>
      </c>
      <c r="L3" s="160" t="s">
        <v>572</v>
      </c>
    </row>
    <row r="4" spans="2:12" ht="83.25" customHeight="1" thickBot="1" x14ac:dyDescent="0.25">
      <c r="B4" s="182" t="str">
        <f>+'Plan de acción 2025'!H43</f>
        <v xml:space="preserve">Elaborar, implementar y realizar seguimiento el Plan Institucional de Capacitación  (PIC) para los funcionarios de la CSC </v>
      </c>
      <c r="C4" s="183">
        <f>IF('Plan de acción 2025'!W43="N/A",0,'Plan de acción 2025'!W43)</f>
        <v>0.21052631578947367</v>
      </c>
      <c r="D4" s="183">
        <f>IF('Plan de acción 2025'!Z43="N/A",0,'Plan de acción 2025'!Z43)</f>
        <v>0</v>
      </c>
      <c r="E4" s="183">
        <f>IF('Plan de acción 2025'!AC43="N/A",0,'Plan de acción 2025'!AC43)</f>
        <v>0</v>
      </c>
      <c r="F4" s="183">
        <f>IF('Plan de acción 2025'!AF43="N/A",0,'Plan de acción 2025'!AF43)</f>
        <v>0</v>
      </c>
      <c r="G4" s="183">
        <f>SUMIF(C4:F4,"&gt;0",C4:F4)</f>
        <v>0.21052631578947367</v>
      </c>
      <c r="I4" s="187" t="str">
        <f>+'Plan de acción 2025'!AL43</f>
        <v>El proceso cumple con el indicador establecido para el trimestre. Según las evidencias aportadas, se llevó a cabo un conversatorio el 31 de marzo de 2025, donde se abordaron temas como la construcción de paz, el cuidado y la equidad, los cuales estaban programados para el primer trimestre. Además, se trataron temas como lenguaje incluyente y derechos humanos, previstos inicialmente para septiembre y octubre, lo que evidencia un adelanto en el cronograma.
Sin embargo, se encuentra pendiente una capacitación relacionada con la actualización normativa, la cual estaba contemplada para el primer trimestre.
Se recomienda al proceso continuar con la planeación de estas actividades, procurar el cumplimiento del cronograma establecido y fomentar la participación de funcionarios y contratistas, dado que la asistencia actual ha sido baja (25 participantes).</v>
      </c>
      <c r="J4" s="187"/>
      <c r="K4" s="187"/>
      <c r="L4" s="187"/>
    </row>
    <row r="5" spans="2:12" ht="111" customHeight="1" thickBot="1" x14ac:dyDescent="0.25">
      <c r="B5" s="182" t="str">
        <f>+'Plan de acción 2025'!H44</f>
        <v>Elaborar y realizar el seguimiento al Plan de Bienestar e incentivos de la CSC ajustado a los lineamientos normativos, conceptuales y dimensiones estratégicas adoptadas como resultado del diagnóstico institucional.</v>
      </c>
      <c r="C5" s="183">
        <f>IF('Plan de acción 2025'!W44="N/A",0,'Plan de acción 2025'!W44)</f>
        <v>0.1888111888111888</v>
      </c>
      <c r="D5" s="183">
        <f>IF('Plan de acción 2025'!Z44="N/A",0,'Plan de acción 2025'!Z44)</f>
        <v>0</v>
      </c>
      <c r="E5" s="183">
        <f>IF('Plan de acción 2025'!AC44="N/A",0,'Plan de acción 2025'!AC44)</f>
        <v>0</v>
      </c>
      <c r="F5" s="183">
        <f>IF('Plan de acción 2025'!AF44="N/A",0,'Plan de acción 2025'!AF44)</f>
        <v>0</v>
      </c>
      <c r="G5" s="183">
        <f t="shared" ref="G5:G10" si="0">SUMIF(C5:F5,"&gt;0",C5:F5)</f>
        <v>0.1888111888111888</v>
      </c>
      <c r="I5" s="187" t="str">
        <f>+'Plan de acción 2025'!AL44</f>
        <v>De acuerdo con las evidencias aportadas, durante el primer trimestre el proceso ejecutó 9 de las 13 actividades programadas, reflejando un cumplimiento parcial del 69,2%. Se identifican actividades pendientes como: incentivo al uso de la bicicleta, convenios deportivos, talleres de retiro y la Copa Gobernación.
Se sugiere reforzar la socialización con los funcionarios sobre las actividades de la ruta de atención en derechos humanos y el programa de incentivos, con el fin de fomentar la participación y asegurar el cumplimiento de la programación anual.</v>
      </c>
      <c r="J5" s="187"/>
      <c r="K5" s="187"/>
      <c r="L5" s="187"/>
    </row>
    <row r="6" spans="2:12" ht="129" customHeight="1" thickBot="1" x14ac:dyDescent="0.25">
      <c r="B6" s="182" t="str">
        <f>+'Plan de acción 2025'!H45</f>
        <v>Ejecutar del Programa de Seguridad y Salud en el Trabajo en CSC de conformidad con las disposiciones normativas vigentes.</v>
      </c>
      <c r="C6" s="183">
        <f>IF('Plan de acción 2025'!W45="N/A",0,'Plan de acción 2025'!W45)</f>
        <v>0.27614379084967317</v>
      </c>
      <c r="D6" s="183">
        <f>IF('Plan de acción 2025'!Z45="N/A",0,'Plan de acción 2025'!Z45)</f>
        <v>0</v>
      </c>
      <c r="E6" s="183">
        <f>IF('Plan de acción 2025'!AC45="N/A",0,'Plan de acción 2025'!AC45)</f>
        <v>0</v>
      </c>
      <c r="F6" s="183">
        <f>IF('Plan de acción 2025'!AF45="N/A",0,'Plan de acción 2025'!AF45)</f>
        <v>0</v>
      </c>
      <c r="G6" s="183">
        <f t="shared" si="0"/>
        <v>0.27614379084967317</v>
      </c>
      <c r="I6" s="187" t="str">
        <f>+'Plan de acción 2025'!AL45</f>
        <v xml:space="preserve">De acuerdo con las evidencias aportadas, el proceso presenta un avance del 26,61% en la ejecución del Plan de Seguridad y Salud en el Trabajo, cumpliendo con 13 de las 18 actividades programadas para el primer trimestre.
Se observa que la encuesta sociodemográfica y los estándares mínimos aún corresponden a la vigencia 2024, lo que limita la actualización del diagnóstico. También se evidencian pendientes las capacitaciones sobre comunicación asertiva, inteligencia emocional y “Cuidemos nuestra columna vertebral”.  Se sugiere reprogramar las capacitaciones pendientes y actualizar tanto los estándades como la encuesta sociodemografica para asegurar el cumplimiento progresivo del plan y evitar rezagos en trimestres posteriores. </v>
      </c>
      <c r="J6" s="187"/>
      <c r="K6" s="187"/>
      <c r="L6" s="187"/>
    </row>
    <row r="7" spans="2:12" ht="85.5" customHeight="1" thickBot="1" x14ac:dyDescent="0.25">
      <c r="B7" s="182" t="str">
        <f>+'Plan de acción 2025'!H46</f>
        <v>Seguimiento al cumplimiento del cronograma de liquidación de nómina de funcionarios</v>
      </c>
      <c r="C7" s="183">
        <f>IF('Plan de acción 2025'!W46="N/A",0,'Plan de acción 2025'!W46)</f>
        <v>0.25</v>
      </c>
      <c r="D7" s="183">
        <f>IF('Plan de acción 2025'!Z46="N/A",0,'Plan de acción 2025'!Z46)</f>
        <v>0</v>
      </c>
      <c r="E7" s="183">
        <f>IF('Plan de acción 2025'!AC46="N/A",0,'Plan de acción 2025'!AC46)</f>
        <v>0</v>
      </c>
      <c r="F7" s="183">
        <f>IF('Plan de acción 2025'!AF46="N/A",0,'Plan de acción 2025'!AF46)</f>
        <v>0</v>
      </c>
      <c r="G7" s="183">
        <f t="shared" si="0"/>
        <v>0.25</v>
      </c>
      <c r="I7" s="187" t="str">
        <f>+'Plan de acción 2025'!AL46</f>
        <v>El proceso cumple con el indicador establecido, ya que no se presentaron novedades que afectaran la liquidación de la nómina y los pagos se realizaron conforme al cronograma definido.
Se recomienda mantener el control y monitoreo periódico de las novedades para asegurar la continuidad en el cumplimiento del cronograma en los próximos trimestres.</v>
      </c>
      <c r="J7" s="187"/>
      <c r="K7" s="187"/>
      <c r="L7" s="187"/>
    </row>
    <row r="8" spans="2:12" ht="102.75" customHeight="1" thickBot="1" x14ac:dyDescent="0.25">
      <c r="B8" s="182" t="str">
        <f>+'Plan de acción 2025'!H47</f>
        <v>Realizar trámite de recobro de incapacidades ante las EPSs</v>
      </c>
      <c r="C8" s="183">
        <f>IF('Plan de acción 2025'!W47="N/A",0,'Plan de acción 2025'!W47)</f>
        <v>0.25</v>
      </c>
      <c r="D8" s="183">
        <f>IF('Plan de acción 2025'!Z47="N/A",0,'Plan de acción 2025'!Z47)</f>
        <v>0</v>
      </c>
      <c r="E8" s="183">
        <f>IF('Plan de acción 2025'!AC47="N/A",0,'Plan de acción 2025'!AC47)</f>
        <v>0</v>
      </c>
      <c r="F8" s="183">
        <f>IF('Plan de acción 2025'!AF47="N/A",0,'Plan de acción 2025'!AF47)</f>
        <v>0</v>
      </c>
      <c r="G8" s="183">
        <f t="shared" si="0"/>
        <v>0.25</v>
      </c>
      <c r="I8" s="187" t="str">
        <f>+'Plan de acción 2025'!AL47</f>
        <v>El proceso cumple con el indicador. Durante el trimestre se presentaron dos incapacidades: La primera, correspondiente al mes de enero, fue cancelada por la EPS el 1° de febrero y la segunda, reportada en febrero, aún se encuentra en trámite y pendiente de pago.
Se sugiere al proceso hacer seguimiento constante a los trámites pendientes ante la EPS para garantizar la oportuna recuperación de los recursos y evitar acumulación de casos en los próximos trimestres.</v>
      </c>
      <c r="J8" s="187"/>
      <c r="K8" s="187"/>
      <c r="L8" s="187"/>
    </row>
    <row r="9" spans="2:12" ht="108.75" customHeight="1" thickBot="1" x14ac:dyDescent="0.25">
      <c r="B9" s="182" t="str">
        <f>+'Plan de acción 2025'!H48</f>
        <v>Realizar las evaluaciones de desempeño y de rendimiento laboral de los funcionarios de la CSC</v>
      </c>
      <c r="C9" s="183">
        <f>IF('Plan de acción 2025'!W48="N/A",0,'Plan de acción 2025'!W48)</f>
        <v>0.25</v>
      </c>
      <c r="D9" s="183">
        <f>IF('Plan de acción 2025'!Z48="N/A",0,'Plan de acción 2025'!Z48)</f>
        <v>0</v>
      </c>
      <c r="E9" s="183">
        <f>IF('Plan de acción 2025'!AC48="N/A",0,'Plan de acción 2025'!AC48)</f>
        <v>0</v>
      </c>
      <c r="F9" s="183">
        <f>IF('Plan de acción 2025'!AF48="N/A",0,'Plan de acción 2025'!AF48)</f>
        <v>0</v>
      </c>
      <c r="G9" s="183">
        <f t="shared" si="0"/>
        <v>0.25</v>
      </c>
      <c r="I9" s="187" t="str">
        <f>+'Plan de acción 2025'!AL48</f>
        <v>Se evidencia que el proceso cumple con el indicador, al realizarse el seguimiento para la evaluación del desempeño de los funcionarios de planta de la entidad. Sin embargo, no se encuentra evidencia de evaluación o seguimiento a los periodos de prueba de los funcionarios Diego Cante y Diana Granados.
Se sugiere al proceso fortalecer la calidad de las evidencias aportadas en próximos trimestres y formalizar el formato de evaluación de periodo de prueba dentro del Sistema de Gestión de Calidad, para asegurar su trazabilidad y cumplimiento.</v>
      </c>
      <c r="J9" s="187"/>
      <c r="K9" s="187"/>
      <c r="L9" s="187"/>
    </row>
    <row r="10" spans="2:12" ht="73.5" customHeight="1" thickBot="1" x14ac:dyDescent="0.25">
      <c r="B10" s="182" t="str">
        <f>+'Plan de acción 2025'!H49</f>
        <v>Realizar seguimiento al autodiagnóstico de Talento Humano fortaleciendo las rutas con menor calificación</v>
      </c>
      <c r="C10" s="183">
        <f>IF('Plan de acción 2025'!W49="N/A",0,'Plan de acción 2025'!W49)</f>
        <v>0</v>
      </c>
      <c r="D10" s="183">
        <f>IF('Plan de acción 2025'!Z49="N/A",0,'Plan de acción 2025'!Z49)</f>
        <v>0</v>
      </c>
      <c r="E10" s="183">
        <f>IF('Plan de acción 2025'!AC49="N/A",0,'Plan de acción 2025'!AC49)</f>
        <v>0</v>
      </c>
      <c r="F10" s="183">
        <f>IF('Plan de acción 2025'!AF49="N/A",0,'Plan de acción 2025'!AF49)</f>
        <v>0</v>
      </c>
      <c r="G10" s="183">
        <f t="shared" si="0"/>
        <v>0</v>
      </c>
      <c r="I10" s="187" t="str">
        <f>+'Plan de acción 2025'!AL49</f>
        <v>Para este trimestre, el indicador no presenta medición.
Se sugiere al proceso revisar las recomendaciones y/o actividades pendientes del autodiagnóstico, con el fin de que, en los próximos periodos de medición, se logre mantener o mejorar la calificación obtenida.</v>
      </c>
      <c r="J10" s="187"/>
      <c r="K10" s="187"/>
      <c r="L10" s="187"/>
    </row>
    <row r="11" spans="2:12" ht="102.75" customHeight="1" thickBot="1" x14ac:dyDescent="0.25">
      <c r="B11" s="182" t="str">
        <f>+'Plan de acción 2025'!H50</f>
        <v>Suscripción de los acuerdos de gestión y seguimiento a su cumplimiento</v>
      </c>
      <c r="C11" s="183">
        <f>IF('Plan de acción 2025'!W50="N/A",0,'Plan de acción 2025'!W50)</f>
        <v>0</v>
      </c>
      <c r="D11" s="183">
        <f>IF('Plan de acción 2025'!Z50="N/A",0,'Plan de acción 2025'!Z50)</f>
        <v>0</v>
      </c>
      <c r="E11" s="183">
        <f>IF('Plan de acción 2025'!AC50="N/A",0,'Plan de acción 2025'!AC50)</f>
        <v>0</v>
      </c>
      <c r="F11" s="183">
        <f>IF('Plan de acción 2025'!AF50="N/A",0,'Plan de acción 2025'!AF50)</f>
        <v>0</v>
      </c>
      <c r="G11" s="183">
        <f t="shared" ref="G11" si="1">SUMIF(C11:F11,"&gt;0",C11:F11)</f>
        <v>0</v>
      </c>
      <c r="I11" s="188" t="str">
        <f>+'Plan de acción 2025'!AL50</f>
        <v>El proceso no cumple con el indicador para este trimestre, ya que no se evidencia la finalización del seguimiento a los acuerdos de gestión del segundo semestre de 2024, ni la concertación de los acuerdos correspondientes al año 2025.
Se sugiere al proceso adelantar las actividades pendientes y formalizar tanto el seguimiento como la concertación de los acuerdos, con el fin de cumplir con el indicador en los próximos trimestres y evitar la acumulación de actividades.</v>
      </c>
      <c r="J11" s="188"/>
      <c r="K11" s="188"/>
      <c r="L11" s="188"/>
    </row>
    <row r="12" spans="2:12" ht="25.5" customHeight="1" thickBot="1" x14ac:dyDescent="0.25">
      <c r="B12" s="173" t="s">
        <v>573</v>
      </c>
      <c r="C12" s="157">
        <f>+AVERAGE(C4:C11)</f>
        <v>0.17818516193129197</v>
      </c>
      <c r="D12" s="157">
        <f>+AVERAGE(D4:D11)</f>
        <v>0</v>
      </c>
      <c r="E12" s="157">
        <f>+AVERAGE(E4:E11)</f>
        <v>0</v>
      </c>
      <c r="F12" s="157">
        <f>+AVERAGE(F4:F11)</f>
        <v>0</v>
      </c>
      <c r="G12" s="157">
        <f>+AVERAGE(G4:G11)</f>
        <v>0.17818516193129197</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2316F-9968-4001-8CCA-689D7592DDF9}">
  <dimension ref="B1:L11"/>
  <sheetViews>
    <sheetView topLeftCell="A6" zoomScale="90" zoomScaleNormal="90" workbookViewId="0">
      <selection activeCell="D9" sqref="D9"/>
    </sheetView>
  </sheetViews>
  <sheetFormatPr baseColWidth="10" defaultColWidth="10.85546875" defaultRowHeight="14.25" x14ac:dyDescent="0.2"/>
  <cols>
    <col min="1" max="1" width="5.42578125" style="135" customWidth="1"/>
    <col min="2" max="2" width="48.42578125" style="135" customWidth="1"/>
    <col min="3" max="6" width="10.85546875" style="135"/>
    <col min="7" max="7" width="17.140625" style="135" customWidth="1"/>
    <col min="8" max="8" width="6" style="135" customWidth="1"/>
    <col min="9" max="12" width="60.7109375" style="135" customWidth="1"/>
    <col min="13" max="16384" width="10.85546875" style="135"/>
  </cols>
  <sheetData>
    <row r="1" spans="2:12" ht="15" thickBot="1" x14ac:dyDescent="0.25"/>
    <row r="2" spans="2:12" ht="15.75" thickBot="1" x14ac:dyDescent="0.3">
      <c r="B2" s="236" t="s">
        <v>588</v>
      </c>
      <c r="C2" s="236"/>
      <c r="D2" s="236"/>
      <c r="E2" s="236"/>
      <c r="F2" s="236"/>
      <c r="G2" s="236"/>
      <c r="I2" s="236" t="s">
        <v>563</v>
      </c>
      <c r="J2" s="236"/>
      <c r="K2" s="236"/>
      <c r="L2" s="236"/>
    </row>
    <row r="3" spans="2:12" ht="45.75" thickBot="1" x14ac:dyDescent="0.25">
      <c r="B3" s="159" t="s">
        <v>564</v>
      </c>
      <c r="C3" s="159" t="s">
        <v>565</v>
      </c>
      <c r="D3" s="159" t="s">
        <v>566</v>
      </c>
      <c r="E3" s="159" t="s">
        <v>567</v>
      </c>
      <c r="F3" s="159" t="s">
        <v>568</v>
      </c>
      <c r="G3" s="159" t="s">
        <v>581</v>
      </c>
      <c r="I3" s="160" t="s">
        <v>569</v>
      </c>
      <c r="J3" s="160" t="s">
        <v>570</v>
      </c>
      <c r="K3" s="160" t="s">
        <v>571</v>
      </c>
      <c r="L3" s="160" t="s">
        <v>572</v>
      </c>
    </row>
    <row r="4" spans="2:12" ht="177.75" customHeight="1" thickBot="1" x14ac:dyDescent="0.25">
      <c r="B4" s="184" t="str">
        <f>+'Plan de acción 2025'!H51</f>
        <v xml:space="preserve">Generar información financiera a la alta gerencia necesaria para la Administración del Presupuesto de manera eficiente. </v>
      </c>
      <c r="C4" s="183">
        <f>IF('Plan de acción 2025'!W51="N/A",0,'Plan de acción 2025'!W51)</f>
        <v>0.21310268141663374</v>
      </c>
      <c r="D4" s="183">
        <f>IF('Plan de acción 2025'!Z51="N/A",0,'Plan de acción 2025'!Z51)</f>
        <v>0</v>
      </c>
      <c r="E4" s="183">
        <f>IF('Plan de acción 2025'!AC51="N/A",0,'Plan de acción 2025'!AC51)</f>
        <v>0</v>
      </c>
      <c r="F4" s="183">
        <f>IF('Plan de acción 2025'!AF51="N/A",0,'Plan de acción 2025'!AF51)</f>
        <v>0</v>
      </c>
      <c r="G4" s="183">
        <f t="shared" ref="G4:G10" si="0">SUMIF(C4:F4,"&gt;0",C4:F4)</f>
        <v>0.21310268141663374</v>
      </c>
      <c r="I4" s="187" t="str">
        <f>+'Plan de acción 2025'!AL51</f>
        <v>De acuerdo con el PAC aprobado para la vigencia 2025, se tenía proyectado recaudar ingresos por valor de $11.823 millones. Sin embargo, al cierre del primer trimestre se logró un recaudo presupuestal de $10.078 millones, equivalente al 85,2% de la meta establecida.
Si bien el avance representa un porcentaje considerable, no se cumplió con lo proyectado para el periodo, lo cual puede impactar la ejecución de las actividades planeadas para el resto del año. Este resultado sugiere la necesidad de revisar las causas del incumplimiento, como posibles retrasos en pagos, problemas en los procesos de cobro, o una proyección inicial por encima de la capacidad real de recaudo.
Se recomienda al proceso realizar una revisión detallada de las fuentes de ingreso que no cumplieron con lo programado y reforzar las acciones de gestión y seguimiento. Así como establecer mecanismos de alerta temprana y ajustar las proyecciones en caso de identificar comportamientos atípicos en la disminución del recaudo.</v>
      </c>
      <c r="J4" s="187"/>
      <c r="K4" s="187"/>
      <c r="L4" s="187"/>
    </row>
    <row r="5" spans="2:12" ht="75.75" customHeight="1" thickBot="1" x14ac:dyDescent="0.25">
      <c r="B5" s="184" t="str">
        <f>+'Plan de acción 2025'!H52</f>
        <v xml:space="preserve">Generar información financiera a la alta gerencia necesaria para la Administración del Presupuesto de manera eficiente. </v>
      </c>
      <c r="C5" s="183">
        <f>IF('Plan de acción 2025'!W52="N/A",0,'Plan de acción 2025'!W52)</f>
        <v>0.24248611631411762</v>
      </c>
      <c r="D5" s="183">
        <f>IF('Plan de acción 2025'!Z52="N/A",0,'Plan de acción 2025'!Z52)</f>
        <v>0</v>
      </c>
      <c r="E5" s="183">
        <f>IF('Plan de acción 2025'!AC52="N/A",0,'Plan de acción 2025'!AC52)</f>
        <v>0</v>
      </c>
      <c r="F5" s="183">
        <f>IF('Plan de acción 2025'!AF52="N/A",0,'Plan de acción 2025'!AF52)</f>
        <v>0</v>
      </c>
      <c r="G5" s="183">
        <f t="shared" si="0"/>
        <v>0.24248611631411762</v>
      </c>
      <c r="I5" s="187" t="str">
        <f>+'Plan de acción 2025'!AL52</f>
        <v xml:space="preserve">El proceso presenta un cumplimiento del 96,9% en la ejecución de los egresos programados para el primer trimestre, lo cual evidencia una gestión eficiente del gasto. No obstante, se identificó que los ingresos solo alcanzaron el 85,2% de lo proyectado, lo que podría generar riesgos financieros. Se recomienda mantener la eficiencia en la ejecución del gasto, pero ajustarla según el comportamiento real de los ingresos. </v>
      </c>
      <c r="J5" s="187"/>
      <c r="K5" s="187"/>
      <c r="L5" s="187"/>
    </row>
    <row r="6" spans="2:12" ht="107.25" customHeight="1" thickBot="1" x14ac:dyDescent="0.25">
      <c r="B6" s="184" t="str">
        <f>+'Plan de acción 2025'!H53</f>
        <v xml:space="preserve">Generar y reportar la Información financiera y presupuestal a los entes de control y de fiscalización de manera oportuna a través de las plataformas oficiales. </v>
      </c>
      <c r="C6" s="183">
        <f>IF('Plan de acción 2025'!W53="N/A",0,'Plan de acción 2025'!W53)</f>
        <v>0.25</v>
      </c>
      <c r="D6" s="183">
        <f>IF('Plan de acción 2025'!Z53="N/A",0,'Plan de acción 2025'!Z53)</f>
        <v>0</v>
      </c>
      <c r="E6" s="183">
        <f>IF('Plan de acción 2025'!AC53="N/A",0,'Plan de acción 2025'!AC53)</f>
        <v>0</v>
      </c>
      <c r="F6" s="183">
        <f>IF('Plan de acción 2025'!AF53="N/A",0,'Plan de acción 2025'!AF53)</f>
        <v>0</v>
      </c>
      <c r="G6" s="183">
        <f t="shared" si="0"/>
        <v>0.25</v>
      </c>
      <c r="I6" s="187" t="str">
        <f>+'Plan de acción 2025'!AL53</f>
        <v>De acuerdo con las evidencias presentadas, se verifica que el proceso cumplió con la entrega oportuna de los informes de: cascada de recursos ;  seguimiento mensual a la Secretaría de Hacienda durante los primeros días de cada mes cdurante el trimestre. Así mismo, el 14 de febrero se rindió la cuenta anual ante la Contraloría, cumpliendo con lo establecido en el indicador.
Se sugiere al proceso incluir en el registro documental la evidencia de la presentación de los informes de retención en la fuente (RTE FTE) y retención ICA (RTE ICA), con el fin de fortalecer el soporte de cumplimiento y mantener actualizados todos los reportes requeridos por los entes de control.</v>
      </c>
      <c r="J6" s="187"/>
      <c r="K6" s="187"/>
      <c r="L6" s="187"/>
    </row>
    <row r="7" spans="2:12" ht="133.5" customHeight="1" thickBot="1" x14ac:dyDescent="0.25">
      <c r="B7" s="184" t="str">
        <f>+'Plan de acción 2025'!H54</f>
        <v xml:space="preserve">Ejecución mensual de conciliaciones bancarias de todas las cuentas de la entidad con los bancos correspondientes que se ajusten a los procedimientos establecidos  institucionalmente. </v>
      </c>
      <c r="C7" s="183">
        <f>IF('Plan de acción 2025'!W54="N/A",0,'Plan de acción 2025'!W54)</f>
        <v>0.16666666666666666</v>
      </c>
      <c r="D7" s="183">
        <f>IF('Plan de acción 2025'!Z54="N/A",0,'Plan de acción 2025'!Z54)</f>
        <v>0</v>
      </c>
      <c r="E7" s="183">
        <f>IF('Plan de acción 2025'!AC54="N/A",0,'Plan de acción 2025'!AC54)</f>
        <v>0</v>
      </c>
      <c r="F7" s="183">
        <f>IF('Plan de acción 2025'!AF54="N/A",0,'Plan de acción 2025'!AF54)</f>
        <v>0</v>
      </c>
      <c r="G7" s="183">
        <f t="shared" si="0"/>
        <v>0.16666666666666666</v>
      </c>
      <c r="I7" s="187" t="str">
        <f>+'Plan de acción 2025'!AL54</f>
        <v>De acuerdo con las evidencias aportadas, durante el trimestre se elaboraron las conciliaciones bancarias correspondientes a las diferentes cuentas de la entidad. No obstante, de un total de 17 cuentas, solo 13 presentan conciliaciones completas hasta marzo, quedando pendientes 4 cuentas por conciliar en el mismo periodo.
Se sugiere al proceso culminar las conciliaciones pendientes a la mayor brevedad con el fin de garantizar la integridad y oportunidad de la información financiera. Además, se recomienda realizar el registro contable de los movimientos clasificados como “rendimientos financieros” que aún no han sido ingresados en los libros contables, con el propósito de obtener resultados financieros más reales y confiables.</v>
      </c>
      <c r="J7" s="187"/>
      <c r="K7" s="187"/>
      <c r="L7" s="187"/>
    </row>
    <row r="8" spans="2:12" ht="107.25" customHeight="1" thickBot="1" x14ac:dyDescent="0.25">
      <c r="B8" s="184" t="str">
        <f>+'Plan de acción 2025'!H55</f>
        <v xml:space="preserve">Registrar en el sistema los recaudos provenientes de las diferentes líneas de crédito con que cuenta la entidad, para garantizar el proceso de desgloce y conciliaciones </v>
      </c>
      <c r="C8" s="183">
        <f>IF('Plan de acción 2025'!W55="N/A",0,'Plan de acción 2025'!W55)</f>
        <v>0.19916901188707337</v>
      </c>
      <c r="D8" s="183">
        <f>IF('Plan de acción 2025'!Z55="N/A",0,'Plan de acción 2025'!Z55)</f>
        <v>0</v>
      </c>
      <c r="E8" s="183">
        <f>IF('Plan de acción 2025'!AC55="N/A",0,'Plan de acción 2025'!AC55)</f>
        <v>0</v>
      </c>
      <c r="F8" s="183">
        <f>IF('Plan de acción 2025'!AF55="N/A",0,'Plan de acción 2025'!AF55)</f>
        <v>0</v>
      </c>
      <c r="G8" s="183">
        <f t="shared" si="0"/>
        <v>0.19916901188707337</v>
      </c>
      <c r="I8" s="187" t="str">
        <f>+'Plan de acción 2025'!AL55</f>
        <v>Durante el primer trimestre de 2025, el recaudo fue tesoral de $9.419.676.127 frente a los $11.823.722.021 proyectados en el PAC, lo que representa un cumplimiento del 79,7% y un déficit del 20,3%. Este resultado por debajo de la meta se atribuye principalmente a la demora en la contratación de asesores comerciales, quienes impulsan el pago de cuotas y la afiliación de nuevos beneficiarios, así como a una gestión deficiente en el cobro de cartera en los primeros meses del año. Se recomienda agilizar la vinculación del personal comercial y fortalecer los mecanismos de cobro para mejorar el cumplimiento en los próximos trimestres.</v>
      </c>
      <c r="J8" s="187"/>
      <c r="K8" s="187"/>
      <c r="L8" s="187"/>
    </row>
    <row r="9" spans="2:12" ht="126" customHeight="1" thickBot="1" x14ac:dyDescent="0.25">
      <c r="B9" s="184" t="str">
        <f>+'Plan de acción 2025'!H56</f>
        <v xml:space="preserve">Registrar en el sistema los egresos correspondiente a las obligaciones contraidas por la entidad. </v>
      </c>
      <c r="C9" s="183">
        <f>IF('Plan de acción 2025'!W56="N/A",0,'Plan de acción 2025'!W56)</f>
        <v>0.11325059151185536</v>
      </c>
      <c r="D9" s="183">
        <f>IF('Plan de acción 2025'!Z56="N/A",0,'Plan de acción 2025'!Z56)</f>
        <v>0</v>
      </c>
      <c r="E9" s="183">
        <f>IF('Plan de acción 2025'!AC56="N/A",0,'Plan de acción 2025'!AC56)</f>
        <v>0</v>
      </c>
      <c r="F9" s="183">
        <f>IF('Plan de acción 2025'!AF56="N/A",0,'Plan de acción 2025'!AF56)</f>
        <v>0</v>
      </c>
      <c r="G9" s="183">
        <f t="shared" ref="G9" si="1">SUMIF(C9:F9,"&gt;0",C9:F9)</f>
        <v>0.11325059151185536</v>
      </c>
      <c r="I9" s="187" t="str">
        <f>+'Plan de acción 2025'!AL56</f>
        <v>Durante el primer trimestre de 2025, el indicador relacionado con el registro en el sistema de los egresos presenta un cumplimiento del 45,3%, con una ejecución de $5.356.174.051 frente a los $11.823.722.021 programados.
Adicionalmente, se evidenció que en las conciliaciones bancarias realizadas durante el trimestre aún existen saldos pendientes por registrar en libros, especialmente relacionados con rendimientos financieros y otros movimientos. Esta situación puede afectar la precisión del resultado contable.
Se sugiere al proceso avanzar en el registro contable de los saldos pendientes identificados en las conciliaciones, con el fin de mejorar la oportunidad y exactitud del indicador en los próximos trimestres</v>
      </c>
      <c r="J9" s="188"/>
      <c r="K9" s="188"/>
      <c r="L9" s="188"/>
    </row>
    <row r="10" spans="2:12" ht="120.75" customHeight="1" thickBot="1" x14ac:dyDescent="0.25">
      <c r="B10" s="184" t="str">
        <f>+'Plan de acción 2025'!H57</f>
        <v xml:space="preserve">Realizar la gestión con entidades bancarias y afiliados para identificar y regularizar las consignaciones sin identificar registradas en el reporte TES 105, asegurando su correcta asignación </v>
      </c>
      <c r="C10" s="183">
        <f>IF('Plan de acción 2025'!W57="N/A",0,'Plan de acción 2025'!W57)</f>
        <v>0.23214285714285715</v>
      </c>
      <c r="D10" s="183">
        <f>IF('Plan de acción 2025'!Z57="N/A",0,'Plan de acción 2025'!Z57)</f>
        <v>0</v>
      </c>
      <c r="E10" s="183">
        <f>IF('Plan de acción 2025'!AC57="N/A",0,'Plan de acción 2025'!AC57)</f>
        <v>0</v>
      </c>
      <c r="F10" s="183">
        <f>IF('Plan de acción 2025'!AF57="N/A",0,'Plan de acción 2025'!AF57)</f>
        <v>0</v>
      </c>
      <c r="G10" s="183">
        <f t="shared" si="0"/>
        <v>0.23214285714285715</v>
      </c>
      <c r="I10" s="188" t="str">
        <f>+'Plan de acción 2025'!AL57</f>
        <v>De acuerdo con el reporte TES-105, al 13 de marzo de 2025 el proceso contaba con 42 registros sin identificar. Para el 1 de abril, se gestionaron 39 de estos, lo que representa un avance significativo y permite considerar que se cumple con el indicador.
Aunque esta actividad resulta dispendiosa y demanda tiempo, se recomienda al proceso continuar con esta práctica, ya que la identificación oportuna de las consignaciones contribuye a descongestionar las cuentas, evita que se reporten saldos erróneos a los deudores y mejora la calidad de la información en los estados de cartera.</v>
      </c>
      <c r="J10" s="188"/>
      <c r="K10" s="188"/>
      <c r="L10" s="188"/>
    </row>
    <row r="11" spans="2:12" ht="33.75" customHeight="1" thickBot="1" x14ac:dyDescent="0.25">
      <c r="B11" s="173" t="s">
        <v>573</v>
      </c>
      <c r="C11" s="157">
        <f>AVERAGE(C4:C10)</f>
        <v>0.20240256070560056</v>
      </c>
      <c r="D11" s="157">
        <f t="shared" ref="D11:F11" si="2">AVERAGE(D4:D10)</f>
        <v>0</v>
      </c>
      <c r="E11" s="157">
        <f t="shared" si="2"/>
        <v>0</v>
      </c>
      <c r="F11" s="157">
        <f t="shared" si="2"/>
        <v>0</v>
      </c>
      <c r="G11" s="157">
        <f>AVERAGE(G4:G10)</f>
        <v>0.20240256070560056</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2DFE2-8696-48AC-B48E-6A3F3B923FF4}">
  <dimension ref="B1:L9"/>
  <sheetViews>
    <sheetView zoomScale="90" zoomScaleNormal="90" workbookViewId="0">
      <selection activeCell="C9" sqref="C9"/>
    </sheetView>
  </sheetViews>
  <sheetFormatPr baseColWidth="10" defaultColWidth="10.85546875" defaultRowHeight="14.25" x14ac:dyDescent="0.2"/>
  <cols>
    <col min="1" max="1" width="4.42578125" style="135" customWidth="1"/>
    <col min="2" max="2" width="38.85546875" style="135" customWidth="1"/>
    <col min="3" max="6" width="10.85546875" style="135"/>
    <col min="7" max="7" width="17.42578125" style="135" customWidth="1"/>
    <col min="8" max="8" width="6" style="135" customWidth="1"/>
    <col min="9" max="12" width="63.42578125" style="135" customWidth="1"/>
    <col min="13" max="16384" width="10.85546875" style="135"/>
  </cols>
  <sheetData>
    <row r="1" spans="2:12" ht="15" thickBot="1" x14ac:dyDescent="0.25"/>
    <row r="2" spans="2:12" s="158" customFormat="1" ht="27.75" customHeight="1" thickBot="1" x14ac:dyDescent="0.3">
      <c r="B2" s="238" t="s">
        <v>589</v>
      </c>
      <c r="C2" s="238"/>
      <c r="D2" s="238"/>
      <c r="E2" s="238"/>
      <c r="F2" s="238"/>
      <c r="G2" s="238"/>
      <c r="I2" s="238" t="s">
        <v>563</v>
      </c>
      <c r="J2" s="238"/>
      <c r="K2" s="238"/>
      <c r="L2" s="238"/>
    </row>
    <row r="3" spans="2:12" ht="45.75" thickBot="1" x14ac:dyDescent="0.25">
      <c r="B3" s="159" t="s">
        <v>564</v>
      </c>
      <c r="C3" s="159" t="s">
        <v>565</v>
      </c>
      <c r="D3" s="159" t="s">
        <v>566</v>
      </c>
      <c r="E3" s="159" t="s">
        <v>567</v>
      </c>
      <c r="F3" s="159" t="s">
        <v>568</v>
      </c>
      <c r="G3" s="159" t="s">
        <v>581</v>
      </c>
      <c r="I3" s="160" t="s">
        <v>569</v>
      </c>
      <c r="J3" s="160" t="s">
        <v>570</v>
      </c>
      <c r="K3" s="160" t="s">
        <v>571</v>
      </c>
      <c r="L3" s="160" t="s">
        <v>572</v>
      </c>
    </row>
    <row r="4" spans="2:12" ht="87.75" customHeight="1" thickBot="1" x14ac:dyDescent="0.25">
      <c r="B4" s="178" t="str">
        <f>+'Plan de acción 2025'!H58</f>
        <v xml:space="preserve">Revisar los procesos judiciales en aras de obtener el recaudo  de los dineros prestados a los usuarios </v>
      </c>
      <c r="C4" s="183">
        <f>IF('Plan de acción 2025'!W58="N/A",0,'Plan de acción 2025'!W58)</f>
        <v>0.16694444444444445</v>
      </c>
      <c r="D4" s="183">
        <f>IF('Plan de acción 2025'!Z58="N/A",0,'Plan de acción 2025'!Z58)</f>
        <v>0</v>
      </c>
      <c r="E4" s="183">
        <f>IF('Plan de acción 2025'!AC58="N/A",0,'Plan de acción 2025'!AC58)</f>
        <v>0</v>
      </c>
      <c r="F4" s="183">
        <f>IF('Plan de acción 2025'!AF58="N/A",0,'Plan de acción 2025'!AF58)</f>
        <v>0</v>
      </c>
      <c r="G4" s="183">
        <f>SUMIF(C4:F4,"&gt;0",C4:F4)</f>
        <v>0.16694444444444445</v>
      </c>
      <c r="I4" s="187" t="str">
        <f>+'Plan de acción 2025'!AL58</f>
        <v>El indicador presenta un cumplimiento parcial durante el trimestre. En la base de datos se evidencian diferentes procesos a los que se les ha realizado seguimiento; sin embargo, la información no se encuentra organizada de forma que permita identificar claramente cuántos casos están activos y cuántos han recibido seguimiento dentro de la rama judicial.
Se sugiere al proceso organizar y sistematizar la información de los procesos judiciales, diferenciando aquellos que se encuentran activos y documentando el estado de seguimiento de cada uno. Esto permitirá un control más efectivo y una mejor trazabilidad del avance de los casos.</v>
      </c>
      <c r="J4" s="187"/>
      <c r="K4" s="187"/>
      <c r="L4" s="187"/>
    </row>
    <row r="5" spans="2:12" ht="87.75" customHeight="1" thickBot="1" x14ac:dyDescent="0.25">
      <c r="B5" s="178" t="str">
        <f>+'Plan de acción 2025'!H59</f>
        <v xml:space="preserve">Realizar  seguimientos mensuales a la implementación de la política del plan de prevención del daño antijuridico </v>
      </c>
      <c r="C5" s="183">
        <f>IF('Plan de acción 2025'!W59="N/A",0,'Plan de acción 2025'!W59)</f>
        <v>0</v>
      </c>
      <c r="D5" s="183">
        <f>IF('Plan de acción 2025'!Z59="N/A",0,'Plan de acción 2025'!Z59)</f>
        <v>0</v>
      </c>
      <c r="E5" s="183">
        <f>IF('Plan de acción 2025'!AC59="N/A",0,'Plan de acción 2025'!AC59)</f>
        <v>0</v>
      </c>
      <c r="F5" s="183">
        <f>IF('Plan de acción 2025'!AF59="N/A",0,'Plan de acción 2025'!AF59)</f>
        <v>0</v>
      </c>
      <c r="G5" s="183">
        <f>SUMIF(C5:F5,"&gt;0",C5:F5)</f>
        <v>0</v>
      </c>
      <c r="I5" s="187" t="str">
        <f>+'Plan de acción 2025'!AL59</f>
        <v>El indicador no presenta seguimiento durante el trimestre. No obstante, se evidencia que el proceso ha realizado las sesiones del comité conforme a lo establecido.
Se sugiere al proceso iniciar la elaboración del informe correspondiente, con el fin de contar con evidencias que permitan analizar si las acciones del comité han contribuido efectivamente a la prevención del daño antijurídico. Esto facilitará el cumplimiento del indicador en los próximos trimestres.</v>
      </c>
      <c r="J5" s="188"/>
      <c r="K5" s="188"/>
      <c r="L5" s="188"/>
    </row>
    <row r="6" spans="2:12" ht="87.75" customHeight="1" thickBot="1" x14ac:dyDescent="0.25">
      <c r="B6" s="178" t="str">
        <f>+'Plan de acción 2025'!H60</f>
        <v xml:space="preserve">Realizar  seguimiento al reporte de los procesos entregados a la firma de  representación judicial  en los que  se haya decretado  sentencia de prescripción de la acción cambiaria y desistimiento tácitos.   </v>
      </c>
      <c r="C6" s="183">
        <f>IF('Plan de acción 2025'!W60="N/A",0,'Plan de acción 2025'!W60)</f>
        <v>0</v>
      </c>
      <c r="D6" s="183">
        <f>IF('Plan de acción 2025'!Z60="N/A",0,'Plan de acción 2025'!Z60)</f>
        <v>0</v>
      </c>
      <c r="E6" s="183">
        <f>IF('Plan de acción 2025'!AC60="N/A",0,'Plan de acción 2025'!AC60)</f>
        <v>0</v>
      </c>
      <c r="F6" s="183">
        <f>IF('Plan de acción 2025'!AF60="N/A",0,'Plan de acción 2025'!AF60)</f>
        <v>0</v>
      </c>
      <c r="G6" s="183">
        <f>SUMIF(C6:F6,"&gt;0",C6:F6)</f>
        <v>0</v>
      </c>
      <c r="I6" s="188" t="str">
        <f>+'Plan de acción 2025'!AL60</f>
        <v>Para el trimestre, el indicador no presenta seguimiento.
Se sugiere al proceso revisar y ajustar la periodicidad del indicador, de manera que esté alineada con la dinámica de la gestión del riesgo. Esto permitiría llevar un control más oportuno de los casos presentados y fortalecer el seguimiento en periodos más cortos, facilitando una respuesta preventiva y eficaz.</v>
      </c>
      <c r="J6" s="188"/>
      <c r="K6" s="188"/>
      <c r="L6" s="188"/>
    </row>
    <row r="7" spans="2:12" ht="31.5" customHeight="1" thickBot="1" x14ac:dyDescent="0.25">
      <c r="B7" s="173" t="s">
        <v>573</v>
      </c>
      <c r="C7" s="157">
        <f>AVERAGE(C4:C6)</f>
        <v>5.5648148148148148E-2</v>
      </c>
      <c r="D7" s="157">
        <f>AVERAGE(D4:D6)</f>
        <v>0</v>
      </c>
      <c r="E7" s="157">
        <f>AVERAGE(E4:E6)</f>
        <v>0</v>
      </c>
      <c r="F7" s="157">
        <f>AVERAGE(F4:F6)</f>
        <v>0</v>
      </c>
      <c r="G7" s="157">
        <f>AVERAGE(G4:G6)</f>
        <v>5.5648148148148148E-2</v>
      </c>
    </row>
    <row r="9" spans="2:12" ht="15" x14ac:dyDescent="0.25">
      <c r="C9" s="239"/>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88C00-0DC4-4678-BE09-1608D82E4B43}">
  <dimension ref="B1:L10"/>
  <sheetViews>
    <sheetView topLeftCell="A7" zoomScale="90" zoomScaleNormal="90" workbookViewId="0">
      <selection activeCell="A4" sqref="A4"/>
    </sheetView>
  </sheetViews>
  <sheetFormatPr baseColWidth="10" defaultColWidth="10.85546875" defaultRowHeight="14.25" x14ac:dyDescent="0.2"/>
  <cols>
    <col min="1" max="1" width="10.85546875" style="135"/>
    <col min="2" max="2" width="40.140625" style="135" customWidth="1"/>
    <col min="3" max="6" width="10.85546875" style="135"/>
    <col min="7" max="7" width="23.42578125" style="135" customWidth="1"/>
    <col min="8" max="8" width="10.85546875" style="135"/>
    <col min="9" max="12" width="62" style="135" customWidth="1"/>
    <col min="13" max="16384" width="10.85546875" style="135"/>
  </cols>
  <sheetData>
    <row r="1" spans="2:12" ht="15" thickBot="1" x14ac:dyDescent="0.25"/>
    <row r="2" spans="2:12" ht="15.75" thickBot="1" x14ac:dyDescent="0.3">
      <c r="B2" s="236" t="s">
        <v>590</v>
      </c>
      <c r="C2" s="236"/>
      <c r="D2" s="236"/>
      <c r="E2" s="236"/>
      <c r="F2" s="236"/>
      <c r="G2" s="236"/>
      <c r="I2" s="238" t="s">
        <v>563</v>
      </c>
      <c r="J2" s="238"/>
      <c r="K2" s="238"/>
      <c r="L2" s="238"/>
    </row>
    <row r="3" spans="2:12" ht="30.75" thickBot="1" x14ac:dyDescent="0.25">
      <c r="B3" s="159" t="s">
        <v>564</v>
      </c>
      <c r="C3" s="159" t="s">
        <v>565</v>
      </c>
      <c r="D3" s="159" t="s">
        <v>566</v>
      </c>
      <c r="E3" s="159" t="s">
        <v>567</v>
      </c>
      <c r="F3" s="159" t="s">
        <v>568</v>
      </c>
      <c r="G3" s="159" t="s">
        <v>581</v>
      </c>
      <c r="I3" s="160" t="s">
        <v>569</v>
      </c>
      <c r="J3" s="160" t="s">
        <v>570</v>
      </c>
      <c r="K3" s="160" t="s">
        <v>571</v>
      </c>
      <c r="L3" s="160" t="s">
        <v>572</v>
      </c>
    </row>
    <row r="4" spans="2:12" ht="75.75" customHeight="1" thickBot="1" x14ac:dyDescent="0.25">
      <c r="B4" s="182" t="str">
        <f>+'Plan de acción 2025'!H61</f>
        <v xml:space="preserve">Planear y ejecutar el Plan anual de auditorías interna Integral de acuerdo al cronograma </v>
      </c>
      <c r="C4" s="183">
        <f>IF('Plan de acción 2025'!W61="N/A",0,'Plan de acción 2025'!W61)</f>
        <v>0</v>
      </c>
      <c r="D4" s="183">
        <f>IF('Plan de acción 2025'!Z61="N/A",0,'Plan de acción 2025'!Z61)</f>
        <v>0</v>
      </c>
      <c r="E4" s="183">
        <f>IF('Plan de acción 2025'!AC61="N/A",0,'Plan de acción 2025'!AC61)</f>
        <v>0</v>
      </c>
      <c r="F4" s="183">
        <f>IF('Plan de acción 2025'!AF61="N/A",0,'Plan de acción 2025'!AF61)</f>
        <v>0</v>
      </c>
      <c r="G4" s="183">
        <f t="shared" ref="G4:G9" si="0">SUMIF(C4:F4,"&gt;0",C4:F4)</f>
        <v>0</v>
      </c>
      <c r="I4" s="187" t="str">
        <f>+'Plan de acción 2025'!AL61</f>
        <v>No se presenta seguimiento al indicador durante el primer trimestre de 2025. Sin embargo, se evidencia en el cronograma del Plan de Auditorías para la vigencia 2025 que dichas actividades están programadas para iniciar en el siguiente trimestre. Se recomienda al proceso asegurar la preparación y alistamiento de los insumos requeridos para su ejecución oportuna conforme al cronograma establecido.</v>
      </c>
      <c r="J4" s="187"/>
      <c r="K4" s="187"/>
      <c r="L4" s="187"/>
    </row>
    <row r="5" spans="2:12" ht="96" customHeight="1" thickBot="1" x14ac:dyDescent="0.25">
      <c r="B5" s="182" t="str">
        <f>+'Plan de acción 2025'!H62</f>
        <v>Realizar los seguimientos a los planes de mejoramiento aprobados por la Contraloría Departamental</v>
      </c>
      <c r="C5" s="183">
        <f>IF('Plan de acción 2025'!W62="N/A",0,'Plan de acción 2025'!W62)</f>
        <v>0</v>
      </c>
      <c r="D5" s="183">
        <f>IF('Plan de acción 2025'!Z62="N/A",0,'Plan de acción 2025'!Z62)</f>
        <v>0</v>
      </c>
      <c r="E5" s="183">
        <f>IF('Plan de acción 2025'!AC62="N/A",0,'Plan de acción 2025'!AC62)</f>
        <v>0</v>
      </c>
      <c r="F5" s="183" t="str">
        <f>IF('Plan de acción 2025'!AF62="N/A",0,'Plan de acción 2025'!AF62)</f>
        <v>NA</v>
      </c>
      <c r="G5" s="183">
        <f t="shared" si="0"/>
        <v>0</v>
      </c>
      <c r="I5" s="187" t="str">
        <f>+'Plan de acción 2025'!AL62</f>
        <v>Durante el primer trimestre de 2025, el indicador no presenta seguimiento, ya que la evaluación de los planes de mejoramiento correspondientes a las vigencias 2022 y 2023 está programada para el mes de junio. Se recomienda al proceso adelantar la verificación del cumplimiento de los compromisos establecidos, con el fin de facilitar una presentación oportuna y completa en la fecha prevista.</v>
      </c>
      <c r="J5" s="187"/>
      <c r="K5" s="187"/>
      <c r="L5" s="187"/>
    </row>
    <row r="6" spans="2:12" ht="184.5" customHeight="1" thickBot="1" x14ac:dyDescent="0.25">
      <c r="B6" s="182" t="str">
        <f>+'Plan de acción 2025'!H63</f>
        <v>Presentar los informes de ley por parte de la OCI,  cumpliendo con la normatividad aplicable Decreto 648 del 19 de abril  de 2017</v>
      </c>
      <c r="C6" s="183">
        <f>IF('Plan de acción 2025'!W63="N/A",0,'Plan de acción 2025'!W63)</f>
        <v>0.19444444444444445</v>
      </c>
      <c r="D6" s="183">
        <f>IF('Plan de acción 2025'!Z63="N/A",0,'Plan de acción 2025'!Z63)</f>
        <v>0</v>
      </c>
      <c r="E6" s="183">
        <f>IF('Plan de acción 2025'!AC63="N/A",0,'Plan de acción 2025'!AC63)</f>
        <v>0</v>
      </c>
      <c r="F6" s="183">
        <f>IF('Plan de acción 2025'!AF63="N/A",0,'Plan de acción 2025'!AF63)</f>
        <v>0</v>
      </c>
      <c r="G6" s="183">
        <f t="shared" si="0"/>
        <v>0.19444444444444445</v>
      </c>
      <c r="I6" s="187" t="str">
        <f>+'Plan de acción 2025'!AL63</f>
        <v>Se revisa la página web institucional y se evidencian publicados 7 de los 9 informes requeridos, lo que representa un cumplimiento parcial del indicador. Los informes visibles son: Plan Anticorrupción y matriz de riesgos (3er cuatrimestre 2024), PQRS (2do semestre 2024), software legal 2024, evaluación por dependencias 2024, informe del estado del control interno (publicado como “Informe pormenorizado”) e informe de auditoría interna 2024. Faltan el informe de Austeridad del Gasto (1er trimestre 2025) y los informes pormenorizados 2024, ya que el publicado corresponde a otro documento.
Se recomienda al proceso ajustar los títulos de los documentos publicados para evitar confusión, así como completar la publicación de los informes faltantes con el fin de dar cumplimiento al indicador y garantizar la transparencia de la gestión institucional. También se recomienda revisar el contenido antes de publicar, ya que se encontraron errores de digitalización como tablas de contenido incompletas y títulos comparativos con información inconsistente, entre otros aspectos que afectan la claridad y calidad de los documentos.</v>
      </c>
      <c r="J6" s="187"/>
      <c r="K6" s="187"/>
      <c r="L6" s="187"/>
    </row>
    <row r="7" spans="2:12" ht="75.75" customHeight="1" thickBot="1" x14ac:dyDescent="0.25">
      <c r="B7" s="182" t="str">
        <f>+'Plan de acción 2025'!H64</f>
        <v>Seguimiento a los resultados de la Auditoría interna de la CSC</v>
      </c>
      <c r="C7" s="183">
        <f>IF('Plan de acción 2025'!W64="N/A",0,'Plan de acción 2025'!W64)</f>
        <v>0.18478260869565216</v>
      </c>
      <c r="D7" s="183">
        <f>IF('Plan de acción 2025'!Z64="N/A",0,'Plan de acción 2025'!Z64)</f>
        <v>0</v>
      </c>
      <c r="E7" s="183">
        <f>IF('Plan de acción 2025'!AC64="N/A",0,'Plan de acción 2025'!AC64)</f>
        <v>0</v>
      </c>
      <c r="F7" s="183">
        <f>IF('Plan de acción 2025'!AF64="N/A",0,'Plan de acción 2025'!AF64)</f>
        <v>0</v>
      </c>
      <c r="G7" s="183">
        <f t="shared" si="0"/>
        <v>0.18478260869565216</v>
      </c>
      <c r="I7" s="187" t="str">
        <f>+'Plan de acción 2025'!AL64</f>
        <v>El indicador presenta un cumplimiento parcial con respecto al seguimiento de las acciones correctivas y de mejora derivadas de la auditoría interna realizada en 2024. A través de la matriz de seguimiento, se evidencia que de los 23 hallazgos identificados, se ha realizado seguimiento a 17 de ellos, quedando pendiente verificar el avance de 3 observaciones y 3 no conformidades.
Se recomienda al proceso asegurar el seguimiento y la trazabilidad de todos los hallazgos, con el fin de verificar el cumplimiento y estado de cada uno. Esto permitirá fortalecer el sistema de mejora continua y garantizar una respuesta eficaz frente a las oportunidades de mejora detectadas.</v>
      </c>
      <c r="J7" s="187"/>
      <c r="K7" s="187"/>
      <c r="L7" s="187"/>
    </row>
    <row r="8" spans="2:12" ht="118.5" customHeight="1" thickBot="1" x14ac:dyDescent="0.25">
      <c r="B8" s="182" t="str">
        <f>+'Plan de acción 2025'!H65</f>
        <v>Realizar Campañas de Autocontrol que armonicen la 7ma dimensión de MIPG</v>
      </c>
      <c r="C8" s="183">
        <f>IF('Plan de acción 2025'!W65="N/A",0,'Plan de acción 2025'!W65)</f>
        <v>0</v>
      </c>
      <c r="D8" s="183">
        <f>IF('Plan de acción 2025'!Z65="N/A",0,'Plan de acción 2025'!Z65)</f>
        <v>0</v>
      </c>
      <c r="E8" s="183">
        <f>IF('Plan de acción 2025'!AC65="N/A",0,'Plan de acción 2025'!AC65)</f>
        <v>0</v>
      </c>
      <c r="F8" s="183">
        <f>IF('Plan de acción 2025'!AF65="N/A",0,'Plan de acción 2025'!AF65)</f>
        <v>0</v>
      </c>
      <c r="G8" s="183">
        <f t="shared" si="0"/>
        <v>0</v>
      </c>
      <c r="I8" s="187" t="str">
        <f>+'Plan de acción 2025'!AL65</f>
        <v>Durante el primer trimestre de 2025, no se evidenció la ejecución de la campaña de autocontrol, lo cual representa un incumplimiento del indicador. El proceso manifestó que esta actividad se encuentra programada para el siguiente trimestre. Sin embargo, se recuerda que el desarrollo de estas campañas debe realizarse de manera trimestral para garantizar la continuidad de la sensibilización y fortalecimiento del autocontrol institucional. Se sugiere al proceso ajustar su planificación y asegurar la ejecución oportuna de las campañas en los trimestres correspondientes, evitando retrasos, y así  fortalecer la cultura de autocontrol entre funcionarios y contratistas.</v>
      </c>
      <c r="J8" s="187"/>
      <c r="K8" s="187"/>
      <c r="L8" s="187"/>
    </row>
    <row r="9" spans="2:12" ht="93" customHeight="1" thickBot="1" x14ac:dyDescent="0.25">
      <c r="B9" s="182" t="str">
        <f>+'Plan de acción 2025'!H66</f>
        <v>Realizar seguimiento a la plataforma SIA Observa y publicación en la página web de la CSC</v>
      </c>
      <c r="C9" s="183">
        <f>IF('Plan de acción 2025'!W66="N/A",0,'Plan de acción 2025'!W66)</f>
        <v>0.25</v>
      </c>
      <c r="D9" s="183">
        <f>IF('Plan de acción 2025'!Z66="N/A",0,'Plan de acción 2025'!Z66)</f>
        <v>0</v>
      </c>
      <c r="E9" s="183">
        <f>IF('Plan de acción 2025'!AC66="N/A",0,'Plan de acción 2025'!AC66)</f>
        <v>0</v>
      </c>
      <c r="F9" s="183">
        <f>IF('Plan de acción 2025'!AF66="N/A",0,'Plan de acción 2025'!AF66)</f>
        <v>0</v>
      </c>
      <c r="G9" s="183">
        <f t="shared" si="0"/>
        <v>0.25</v>
      </c>
      <c r="I9" s="188" t="str">
        <f>+'Plan de acción 2025'!AL66</f>
        <v>Durante el primer trimestre de 2025, se evidencia que el proceso realizó el seguimiento a la plataforma SIA, verificando oportunamente la rendición de la cuenta dentro de los plazos establecidos, cumpliendo con lo definido en el indicador. Se resalta positivamente la gestión del proceso, por lo cual se recomienda mantener esta dinámica de seguimiento oportuno, garantizando el cumplimiento continuo de las obligaciones y fortaleciendo la transparencia institucional.</v>
      </c>
      <c r="J9" s="188"/>
      <c r="K9" s="188"/>
      <c r="L9" s="188"/>
    </row>
    <row r="10" spans="2:12" ht="35.25" customHeight="1" thickBot="1" x14ac:dyDescent="0.25">
      <c r="B10" s="173" t="s">
        <v>573</v>
      </c>
      <c r="C10" s="157">
        <f>+AVERAGE(C4:C9)</f>
        <v>0.10487117552334944</v>
      </c>
      <c r="D10" s="157">
        <f>+AVERAGE(D4:D9)</f>
        <v>0</v>
      </c>
      <c r="E10" s="157">
        <f>+AVERAGE(E4:E9)</f>
        <v>0</v>
      </c>
      <c r="F10" s="157">
        <f>+AVERAGE(F4:F9)</f>
        <v>0</v>
      </c>
      <c r="G10" s="157">
        <f>+AVERAGE(G4:G9)</f>
        <v>0.10487117552334944</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EB05DC-1849-493F-9D60-51B29E27EA8E}">
  <dimension ref="B1:P18"/>
  <sheetViews>
    <sheetView tabSelected="1" topLeftCell="B43" zoomScale="85" zoomScaleNormal="85" workbookViewId="0">
      <selection activeCell="Q84" sqref="Q84"/>
    </sheetView>
  </sheetViews>
  <sheetFormatPr baseColWidth="10" defaultColWidth="10.85546875" defaultRowHeight="14.25" x14ac:dyDescent="0.2"/>
  <cols>
    <col min="1" max="1" width="3.85546875" style="135" customWidth="1"/>
    <col min="2" max="2" width="24.7109375" style="135" customWidth="1"/>
    <col min="3" max="3" width="19.85546875" style="135" customWidth="1"/>
    <col min="4" max="4" width="12.42578125" style="135" customWidth="1"/>
    <col min="5" max="5" width="12" style="135" customWidth="1"/>
    <col min="6" max="7" width="13.85546875" style="135" customWidth="1"/>
    <col min="8" max="8" width="14.42578125" style="135" customWidth="1"/>
    <col min="9" max="9" width="18.85546875" style="135" customWidth="1"/>
    <col min="10" max="10" width="17.42578125" style="135" customWidth="1"/>
    <col min="11" max="11" width="14.42578125" style="135" customWidth="1"/>
    <col min="12" max="12" width="17.42578125" style="135" customWidth="1"/>
    <col min="13" max="13" width="10.85546875" style="135"/>
    <col min="14" max="14" width="15.140625" style="135" customWidth="1"/>
    <col min="15" max="15" width="16.7109375" style="135" customWidth="1"/>
    <col min="16" max="16384" width="10.85546875" style="135"/>
  </cols>
  <sheetData>
    <row r="1" spans="2:16" ht="15" thickBot="1" x14ac:dyDescent="0.25"/>
    <row r="2" spans="2:16" ht="29.25" customHeight="1" thickBot="1" x14ac:dyDescent="0.45">
      <c r="B2" s="228" t="s">
        <v>540</v>
      </c>
      <c r="C2" s="228"/>
      <c r="D2" s="228"/>
      <c r="E2" s="228"/>
      <c r="F2" s="228"/>
      <c r="G2" s="228"/>
      <c r="H2" s="228"/>
      <c r="I2" s="228"/>
      <c r="J2" s="228"/>
      <c r="K2" s="228"/>
      <c r="L2" s="228"/>
      <c r="M2" s="228"/>
      <c r="N2" s="228"/>
      <c r="O2" s="228"/>
    </row>
    <row r="3" spans="2:16" ht="45.75" thickBot="1" x14ac:dyDescent="0.25">
      <c r="B3" s="136" t="s">
        <v>561</v>
      </c>
      <c r="C3" s="137" t="s">
        <v>541</v>
      </c>
      <c r="D3" s="137" t="s">
        <v>542</v>
      </c>
      <c r="E3" s="137" t="s">
        <v>543</v>
      </c>
      <c r="F3" s="137" t="s">
        <v>592</v>
      </c>
      <c r="G3" s="137" t="s">
        <v>593</v>
      </c>
      <c r="H3" s="137" t="s">
        <v>544</v>
      </c>
      <c r="I3" s="137" t="s">
        <v>545</v>
      </c>
      <c r="J3" s="137" t="s">
        <v>546</v>
      </c>
      <c r="K3" s="137" t="s">
        <v>547</v>
      </c>
      <c r="L3" s="137" t="s">
        <v>548</v>
      </c>
      <c r="M3" s="137" t="s">
        <v>549</v>
      </c>
      <c r="N3" s="137" t="s">
        <v>550</v>
      </c>
      <c r="O3" s="137" t="s">
        <v>551</v>
      </c>
    </row>
    <row r="4" spans="2:16" ht="43.5" customHeight="1" x14ac:dyDescent="0.2">
      <c r="B4" s="138" t="s">
        <v>552</v>
      </c>
      <c r="C4" s="139">
        <f>+'Direccionamiento Estrategico'!C8</f>
        <v>0.125</v>
      </c>
      <c r="D4" s="139">
        <f>+'Atención al Cliente'!C8</f>
        <v>0.24108730398449496</v>
      </c>
      <c r="E4" s="139">
        <f>+Bienestar!C7</f>
        <v>0.1768776382628604</v>
      </c>
      <c r="F4" s="139">
        <f>+Crédito!C7</f>
        <v>0.20044444444444443</v>
      </c>
      <c r="G4" s="139">
        <f>+Cartera!C8</f>
        <v>0.24137931034482757</v>
      </c>
      <c r="H4" s="139">
        <f>+'Gestión Contractual'!C7</f>
        <v>0.21236559139784947</v>
      </c>
      <c r="I4" s="139">
        <f>+'Gestión de la Información'!C9</f>
        <v>0.2</v>
      </c>
      <c r="J4" s="139">
        <f>+'Gestión de Recursos Físicos'!C10</f>
        <v>0.13020833333333334</v>
      </c>
      <c r="K4" s="139">
        <f>+'Gestión de Talento Humano'!C12</f>
        <v>0.17818516193129197</v>
      </c>
      <c r="L4" s="139">
        <f>+'Gestión Financiera'!C11</f>
        <v>0.20240256070560056</v>
      </c>
      <c r="M4" s="139">
        <f>+'Gestión Jurídica'!C7</f>
        <v>5.5648148148148148E-2</v>
      </c>
      <c r="N4" s="139">
        <f>+'Gestion del Mejoramiento'!C10</f>
        <v>0.10487117552334944</v>
      </c>
      <c r="O4" s="229">
        <f>AVERAGE(C8:N8)</f>
        <v>0.17237247233968334</v>
      </c>
    </row>
    <row r="5" spans="2:16" ht="43.5" customHeight="1" x14ac:dyDescent="0.2">
      <c r="B5" s="138" t="s">
        <v>553</v>
      </c>
      <c r="C5" s="139">
        <f>+'Direccionamiento Estrategico'!D8</f>
        <v>0</v>
      </c>
      <c r="D5" s="140">
        <f>+'Atención al Cliente'!D8</f>
        <v>0</v>
      </c>
      <c r="E5" s="140">
        <f>+Bienestar!D7</f>
        <v>0</v>
      </c>
      <c r="F5" s="139">
        <f>+Crédito!D7</f>
        <v>0</v>
      </c>
      <c r="G5" s="139">
        <f>+Cartera!D8</f>
        <v>0</v>
      </c>
      <c r="H5" s="140">
        <f>+'Gestión Contractual'!D7</f>
        <v>0</v>
      </c>
      <c r="I5" s="140">
        <f>+'Gestión de la Información'!D9</f>
        <v>0</v>
      </c>
      <c r="J5" s="140">
        <f>+'Gestión de Recursos Físicos'!D10</f>
        <v>0</v>
      </c>
      <c r="K5" s="140">
        <f>+'Gestión de Talento Humano'!D12</f>
        <v>0</v>
      </c>
      <c r="L5" s="140">
        <f>+'Gestión Financiera'!D11</f>
        <v>0</v>
      </c>
      <c r="M5" s="140">
        <f>+'Gestión Jurídica'!D7</f>
        <v>0</v>
      </c>
      <c r="N5" s="140">
        <f>+'Gestion del Mejoramiento'!D10</f>
        <v>0</v>
      </c>
      <c r="O5" s="230"/>
    </row>
    <row r="6" spans="2:16" ht="43.5" customHeight="1" x14ac:dyDescent="0.2">
      <c r="B6" s="138" t="s">
        <v>554</v>
      </c>
      <c r="C6" s="139">
        <f>+'Direccionamiento Estrategico'!E8</f>
        <v>0</v>
      </c>
      <c r="D6" s="140">
        <f>+'Atención al Cliente'!E8</f>
        <v>0</v>
      </c>
      <c r="E6" s="140">
        <f>+Bienestar!E7</f>
        <v>0</v>
      </c>
      <c r="F6" s="139">
        <f>+Crédito!E7</f>
        <v>0</v>
      </c>
      <c r="G6" s="139">
        <f>+Cartera!E8</f>
        <v>0</v>
      </c>
      <c r="H6" s="140">
        <f>+'Gestión Contractual'!E7</f>
        <v>0</v>
      </c>
      <c r="I6" s="140">
        <f>+'Gestión de la Información'!E9</f>
        <v>0</v>
      </c>
      <c r="J6" s="140">
        <f>+'Gestión de Recursos Físicos'!E10</f>
        <v>0</v>
      </c>
      <c r="K6" s="140">
        <f>+'Gestión de Talento Humano'!E12</f>
        <v>0</v>
      </c>
      <c r="L6" s="140">
        <f>+'Gestión Financiera'!E11</f>
        <v>0</v>
      </c>
      <c r="M6" s="140">
        <f>+'Gestión Jurídica'!E7</f>
        <v>0</v>
      </c>
      <c r="N6" s="140">
        <f>+'Gestion del Mejoramiento'!E10</f>
        <v>0</v>
      </c>
      <c r="O6" s="230"/>
    </row>
    <row r="7" spans="2:16" ht="39" customHeight="1" x14ac:dyDescent="0.2">
      <c r="B7" s="138" t="s">
        <v>555</v>
      </c>
      <c r="C7" s="139">
        <f>+'Direccionamiento Estrategico'!F8</f>
        <v>0</v>
      </c>
      <c r="D7" s="140">
        <f>+'Atención al Cliente'!F8</f>
        <v>0</v>
      </c>
      <c r="E7" s="140">
        <f>+Bienestar!F7</f>
        <v>0</v>
      </c>
      <c r="F7" s="139">
        <f>+Crédito!F7</f>
        <v>0</v>
      </c>
      <c r="G7" s="139">
        <f>+Cartera!F8</f>
        <v>0</v>
      </c>
      <c r="H7" s="140">
        <f>+'Gestión Contractual'!F7</f>
        <v>0</v>
      </c>
      <c r="I7" s="140">
        <f>+'Gestión de la Información'!F9</f>
        <v>0</v>
      </c>
      <c r="J7" s="140">
        <f>+'Gestión de Recursos Físicos'!F10</f>
        <v>0</v>
      </c>
      <c r="K7" s="140">
        <f>+'Gestión de Talento Humano'!F12</f>
        <v>0</v>
      </c>
      <c r="L7" s="140">
        <f>+'Gestión Financiera'!F11</f>
        <v>0</v>
      </c>
      <c r="M7" s="140">
        <f>+'Gestión Jurídica'!F7</f>
        <v>0</v>
      </c>
      <c r="N7" s="140">
        <f>+'Gestion del Mejoramiento'!F10</f>
        <v>0</v>
      </c>
      <c r="O7" s="230"/>
    </row>
    <row r="8" spans="2:16" ht="42" customHeight="1" thickBot="1" x14ac:dyDescent="0.25">
      <c r="B8" s="138" t="s">
        <v>591</v>
      </c>
      <c r="C8" s="141">
        <f t="shared" ref="C8:N8" si="0">SUM(C4:C7)</f>
        <v>0.125</v>
      </c>
      <c r="D8" s="141">
        <f>SUM(D4:D7)</f>
        <v>0.24108730398449496</v>
      </c>
      <c r="E8" s="141">
        <f t="shared" si="0"/>
        <v>0.1768776382628604</v>
      </c>
      <c r="F8" s="141">
        <f t="shared" ref="F8" si="1">SUM(F4:F7)</f>
        <v>0.20044444444444443</v>
      </c>
      <c r="G8" s="141">
        <f t="shared" si="0"/>
        <v>0.24137931034482757</v>
      </c>
      <c r="H8" s="141">
        <f t="shared" si="0"/>
        <v>0.21236559139784947</v>
      </c>
      <c r="I8" s="141">
        <f t="shared" si="0"/>
        <v>0.2</v>
      </c>
      <c r="J8" s="141">
        <f t="shared" si="0"/>
        <v>0.13020833333333334</v>
      </c>
      <c r="K8" s="141">
        <f t="shared" si="0"/>
        <v>0.17818516193129197</v>
      </c>
      <c r="L8" s="141">
        <f t="shared" si="0"/>
        <v>0.20240256070560056</v>
      </c>
      <c r="M8" s="141">
        <f>SUM(M4:M7)</f>
        <v>5.5648148148148148E-2</v>
      </c>
      <c r="N8" s="141">
        <f t="shared" si="0"/>
        <v>0.10487117552334944</v>
      </c>
      <c r="O8" s="231"/>
    </row>
    <row r="10" spans="2:16" ht="15" x14ac:dyDescent="0.25">
      <c r="C10" s="142"/>
    </row>
    <row r="11" spans="2:16" x14ac:dyDescent="0.2">
      <c r="J11" s="143"/>
    </row>
    <row r="13" spans="2:16" x14ac:dyDescent="0.2">
      <c r="B13" s="135" t="s">
        <v>561</v>
      </c>
      <c r="C13" s="135" t="s">
        <v>541</v>
      </c>
      <c r="D13" s="135" t="s">
        <v>542</v>
      </c>
      <c r="E13" s="135" t="s">
        <v>543</v>
      </c>
      <c r="F13" s="189" t="s">
        <v>592</v>
      </c>
      <c r="G13" s="189" t="s">
        <v>593</v>
      </c>
      <c r="H13" s="135" t="s">
        <v>544</v>
      </c>
      <c r="I13" s="135" t="s">
        <v>545</v>
      </c>
      <c r="J13" s="135" t="s">
        <v>546</v>
      </c>
      <c r="K13" s="135" t="s">
        <v>547</v>
      </c>
      <c r="L13" s="135" t="s">
        <v>548</v>
      </c>
      <c r="M13" s="135" t="s">
        <v>549</v>
      </c>
      <c r="N13" s="135" t="s">
        <v>550</v>
      </c>
      <c r="O13" s="135" t="s">
        <v>551</v>
      </c>
    </row>
    <row r="14" spans="2:16" x14ac:dyDescent="0.2">
      <c r="B14" s="135" t="s">
        <v>556</v>
      </c>
      <c r="C14" s="144">
        <f t="shared" ref="C14:N14" si="2">+C4</f>
        <v>0.125</v>
      </c>
      <c r="D14" s="144">
        <f t="shared" si="2"/>
        <v>0.24108730398449496</v>
      </c>
      <c r="E14" s="144">
        <f t="shared" si="2"/>
        <v>0.1768776382628604</v>
      </c>
      <c r="F14" s="144">
        <f t="shared" ref="F14" si="3">+F4</f>
        <v>0.20044444444444443</v>
      </c>
      <c r="G14" s="144">
        <f t="shared" si="2"/>
        <v>0.24137931034482757</v>
      </c>
      <c r="H14" s="144">
        <f>+'Gestión Contractual'!C7</f>
        <v>0.21236559139784947</v>
      </c>
      <c r="I14" s="144">
        <f>+'Gestión de la Información'!C9</f>
        <v>0.2</v>
      </c>
      <c r="J14" s="144">
        <f t="shared" si="2"/>
        <v>0.13020833333333334</v>
      </c>
      <c r="K14" s="144">
        <f t="shared" si="2"/>
        <v>0.17818516193129197</v>
      </c>
      <c r="L14" s="144">
        <f t="shared" si="2"/>
        <v>0.20240256070560056</v>
      </c>
      <c r="M14" s="144">
        <f t="shared" si="2"/>
        <v>5.5648148148148148E-2</v>
      </c>
      <c r="N14" s="144">
        <f t="shared" si="2"/>
        <v>0.10487117552334944</v>
      </c>
      <c r="O14" s="145">
        <v>0.14660000000000001</v>
      </c>
    </row>
    <row r="15" spans="2:16" x14ac:dyDescent="0.2">
      <c r="B15" s="135" t="s">
        <v>557</v>
      </c>
      <c r="C15" s="144">
        <f t="shared" ref="C15:N17" si="4">+C5</f>
        <v>0</v>
      </c>
      <c r="D15" s="144">
        <f t="shared" si="4"/>
        <v>0</v>
      </c>
      <c r="E15" s="144">
        <f t="shared" si="4"/>
        <v>0</v>
      </c>
      <c r="F15" s="144">
        <f t="shared" ref="F15" si="5">+F5</f>
        <v>0</v>
      </c>
      <c r="G15" s="144">
        <f t="shared" si="4"/>
        <v>0</v>
      </c>
      <c r="H15" s="144">
        <f>+'Gestión Contractual'!D7</f>
        <v>0</v>
      </c>
      <c r="I15" s="144">
        <f>+'Gestión de la Información'!D9</f>
        <v>0</v>
      </c>
      <c r="J15" s="144">
        <f t="shared" si="4"/>
        <v>0</v>
      </c>
      <c r="K15" s="144">
        <f t="shared" si="4"/>
        <v>0</v>
      </c>
      <c r="L15" s="144">
        <f t="shared" si="4"/>
        <v>0</v>
      </c>
      <c r="M15" s="144">
        <f t="shared" si="4"/>
        <v>0</v>
      </c>
      <c r="N15" s="144">
        <f t="shared" si="4"/>
        <v>0</v>
      </c>
      <c r="O15" s="145">
        <v>0.31919999999999998</v>
      </c>
      <c r="P15" s="146"/>
    </row>
    <row r="16" spans="2:16" ht="15.75" customHeight="1" x14ac:dyDescent="0.2">
      <c r="B16" s="135" t="s">
        <v>558</v>
      </c>
      <c r="C16" s="144">
        <f t="shared" si="4"/>
        <v>0</v>
      </c>
      <c r="D16" s="144">
        <f t="shared" si="4"/>
        <v>0</v>
      </c>
      <c r="E16" s="144">
        <f t="shared" si="4"/>
        <v>0</v>
      </c>
      <c r="F16" s="144">
        <f t="shared" ref="F16" si="6">+F6</f>
        <v>0</v>
      </c>
      <c r="G16" s="144">
        <f t="shared" si="4"/>
        <v>0</v>
      </c>
      <c r="H16" s="144">
        <f>+'Gestión Contractual'!E7</f>
        <v>0</v>
      </c>
      <c r="I16" s="144">
        <f t="shared" si="4"/>
        <v>0</v>
      </c>
      <c r="J16" s="144">
        <f t="shared" si="4"/>
        <v>0</v>
      </c>
      <c r="K16" s="144">
        <f t="shared" si="4"/>
        <v>0</v>
      </c>
      <c r="L16" s="144">
        <f t="shared" si="4"/>
        <v>0</v>
      </c>
      <c r="M16" s="144">
        <f t="shared" si="4"/>
        <v>0</v>
      </c>
      <c r="N16" s="144">
        <f t="shared" si="4"/>
        <v>0</v>
      </c>
      <c r="O16" s="145">
        <v>0.57869999999999999</v>
      </c>
    </row>
    <row r="17" spans="2:15" x14ac:dyDescent="0.2">
      <c r="B17" s="135" t="s">
        <v>559</v>
      </c>
      <c r="C17" s="144">
        <f t="shared" si="4"/>
        <v>0</v>
      </c>
      <c r="D17" s="144">
        <f t="shared" si="4"/>
        <v>0</v>
      </c>
      <c r="E17" s="144">
        <f t="shared" si="4"/>
        <v>0</v>
      </c>
      <c r="F17" s="144">
        <f t="shared" ref="F17" si="7">+F7</f>
        <v>0</v>
      </c>
      <c r="G17" s="144">
        <f t="shared" si="4"/>
        <v>0</v>
      </c>
      <c r="H17" s="144">
        <f>+'Gestión Contractual'!F7</f>
        <v>0</v>
      </c>
      <c r="I17" s="144">
        <f t="shared" si="4"/>
        <v>0</v>
      </c>
      <c r="J17" s="144">
        <f t="shared" si="4"/>
        <v>0</v>
      </c>
      <c r="K17" s="144">
        <f t="shared" si="4"/>
        <v>0</v>
      </c>
      <c r="L17" s="144">
        <f t="shared" si="4"/>
        <v>0</v>
      </c>
      <c r="M17" s="144">
        <f t="shared" si="4"/>
        <v>0</v>
      </c>
      <c r="N17" s="144">
        <f t="shared" si="4"/>
        <v>0</v>
      </c>
      <c r="O17" s="145">
        <v>0.85870000000000002</v>
      </c>
    </row>
    <row r="18" spans="2:15" x14ac:dyDescent="0.2">
      <c r="B18" s="147" t="s">
        <v>560</v>
      </c>
      <c r="C18" s="148">
        <f>SUM(C14:C17)</f>
        <v>0.125</v>
      </c>
      <c r="D18" s="148">
        <f t="shared" ref="D18:N18" si="8">SUM(D14:D17)</f>
        <v>0.24108730398449496</v>
      </c>
      <c r="E18" s="148">
        <f t="shared" si="8"/>
        <v>0.1768776382628604</v>
      </c>
      <c r="F18" s="148">
        <f t="shared" ref="F18" si="9">SUM(F14:F17)</f>
        <v>0.20044444444444443</v>
      </c>
      <c r="G18" s="148">
        <f t="shared" si="8"/>
        <v>0.24137931034482757</v>
      </c>
      <c r="H18" s="148">
        <f t="shared" si="8"/>
        <v>0.21236559139784947</v>
      </c>
      <c r="I18" s="148">
        <f t="shared" si="8"/>
        <v>0.2</v>
      </c>
      <c r="J18" s="148">
        <f t="shared" si="8"/>
        <v>0.13020833333333334</v>
      </c>
      <c r="K18" s="148">
        <f t="shared" si="8"/>
        <v>0.17818516193129197</v>
      </c>
      <c r="L18" s="148">
        <f t="shared" si="8"/>
        <v>0.20240256070560056</v>
      </c>
      <c r="M18" s="148">
        <f t="shared" si="8"/>
        <v>5.5648148148148148E-2</v>
      </c>
      <c r="N18" s="148">
        <f t="shared" si="8"/>
        <v>0.10487117552334944</v>
      </c>
      <c r="O18" s="145"/>
    </row>
  </sheetData>
  <mergeCells count="2">
    <mergeCell ref="B2:O2"/>
    <mergeCell ref="O4:O8"/>
  </mergeCells>
  <pageMargins left="0.7" right="0.7" top="0.75" bottom="0.75" header="0.511811023622047" footer="0.511811023622047"/>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3530F-BA08-4D05-B300-47532CE223A8}">
  <dimension ref="B1:L8"/>
  <sheetViews>
    <sheetView zoomScale="90" zoomScaleNormal="90" workbookViewId="0">
      <selection activeCell="C4" sqref="C4"/>
    </sheetView>
  </sheetViews>
  <sheetFormatPr baseColWidth="10" defaultColWidth="11.42578125" defaultRowHeight="14.25" x14ac:dyDescent="0.2"/>
  <cols>
    <col min="1" max="1" width="4.42578125" style="149" customWidth="1"/>
    <col min="2" max="2" width="40.28515625" style="149" customWidth="1"/>
    <col min="3" max="3" width="13.7109375" style="149" customWidth="1"/>
    <col min="4" max="6" width="11.42578125" style="149"/>
    <col min="7" max="7" width="16.42578125" style="149" customWidth="1"/>
    <col min="8" max="8" width="6" style="149" customWidth="1"/>
    <col min="9" max="9" width="55.140625" style="149" customWidth="1"/>
    <col min="10" max="12" width="51" style="149" customWidth="1"/>
    <col min="13" max="16384" width="11.42578125" style="149"/>
  </cols>
  <sheetData>
    <row r="1" spans="2:12" ht="15" thickBot="1" x14ac:dyDescent="0.25"/>
    <row r="2" spans="2:12" ht="21" thickBot="1" x14ac:dyDescent="0.35">
      <c r="B2" s="232" t="s">
        <v>562</v>
      </c>
      <c r="C2" s="232"/>
      <c r="D2" s="232"/>
      <c r="E2" s="232"/>
      <c r="F2" s="232"/>
      <c r="G2" s="232"/>
      <c r="I2" s="232" t="s">
        <v>563</v>
      </c>
      <c r="J2" s="232"/>
      <c r="K2" s="232"/>
      <c r="L2" s="232"/>
    </row>
    <row r="3" spans="2:12" ht="45.75" thickBot="1" x14ac:dyDescent="0.25">
      <c r="B3" s="150" t="s">
        <v>564</v>
      </c>
      <c r="C3" s="150" t="s">
        <v>565</v>
      </c>
      <c r="D3" s="150" t="s">
        <v>566</v>
      </c>
      <c r="E3" s="150" t="s">
        <v>567</v>
      </c>
      <c r="F3" s="150" t="s">
        <v>568</v>
      </c>
      <c r="G3" s="150" t="s">
        <v>581</v>
      </c>
      <c r="I3" s="151" t="s">
        <v>569</v>
      </c>
      <c r="J3" s="151" t="s">
        <v>570</v>
      </c>
      <c r="K3" s="151" t="s">
        <v>571</v>
      </c>
      <c r="L3" s="151" t="s">
        <v>572</v>
      </c>
    </row>
    <row r="4" spans="2:12" ht="107.25" customHeight="1" thickBot="1" x14ac:dyDescent="0.25">
      <c r="B4" s="152" t="str">
        <f>+'Plan de acción 2025'!I11</f>
        <v>Porcentaje de cumplimiento en la evaluación FURAG respecto a la meta establecida</v>
      </c>
      <c r="C4" s="153">
        <f>IF('Plan de acción 2025'!W11="N/A",0,'Plan de acción 2025'!W11)</f>
        <v>0</v>
      </c>
      <c r="D4" s="153">
        <f>IF('Plan de acción 2025'!Z11="N/A",0,'Plan de acción 2025'!Z11)</f>
        <v>0</v>
      </c>
      <c r="E4" s="153">
        <f>IF('Plan de acción 2025'!AC11="N/A",0,'Plan de acción 2025'!AC11)</f>
        <v>0</v>
      </c>
      <c r="F4" s="153">
        <f>IF('Plan de acción 2025'!AF11="N/A",0,'Plan de acción 2025'!AF11)</f>
        <v>0</v>
      </c>
      <c r="G4" s="153">
        <f>SUMIF(C4:F4,"&gt;0",C4:F4)</f>
        <v>0</v>
      </c>
      <c r="I4" s="175" t="str">
        <f>+'Plan de acción 2025'!AL11</f>
        <v>En el primer trimestre de 2025 no se realizó la medición del indicador. No obstante, se evidencia una intención positiva por parte del proceso de generar una campaña de apropiación sobre el FURAG, con el fin de preparar a los equipos de trabajo para responder de manera adecuada y oportuna las preguntas del formulario, lo cual podría incidir favorablemente en la calificación institucional.</v>
      </c>
      <c r="J4" s="154"/>
      <c r="K4" s="154"/>
      <c r="L4" s="154"/>
    </row>
    <row r="5" spans="2:12" ht="156.75" customHeight="1" thickBot="1" x14ac:dyDescent="0.25">
      <c r="B5" s="152" t="str">
        <f>+'Plan de acción 2025'!I12</f>
        <v>Porcentaje de seguimiento efectivo a los 12 planes del Decreto 612 de 2018</v>
      </c>
      <c r="C5" s="153">
        <f>IF('Plan de acción 2025'!W12="N/A",0,'Plan de acción 2025'!W12)</f>
        <v>0</v>
      </c>
      <c r="D5" s="153">
        <f>IF('Plan de acción 2025'!Z12="N/A",0,'Plan de acción 2025'!Z12)</f>
        <v>0</v>
      </c>
      <c r="E5" s="153">
        <f>IF('Plan de acción 2025'!AC12="N/A",0,'Plan de acción 2025'!AC12)</f>
        <v>0</v>
      </c>
      <c r="F5" s="153">
        <f>IF('Plan de acción 2025'!AF12="N/A",0,'Plan de acción 2025'!AF12)</f>
        <v>0</v>
      </c>
      <c r="G5" s="153">
        <f>SUMIF(C5:F5,"&gt;0",C5:F5)</f>
        <v>0</v>
      </c>
      <c r="I5" s="175" t="str">
        <f>+'Plan de acción 2025'!AL12</f>
        <v>Durante el primer trimestre de 2025 no se realizó seguimiento al indicador. Sin embargo, se evidencia que los 12 planes establecidos en el marco del Decreto 612 fueron aprobados por el comité, según consta en el acta No. 2 del 23 de enero de 2025, y se encuentran debidamente publicados en la página web institucional.
Se sugiere iniciar el seguimiento y monitoreo de cada uno de los planes durante el siguiente trimestre, con el fin de garantizar el cumplimiento del indicador y fortalecer la implementación efectiva de las estrategias contempladas en dichos planes.</v>
      </c>
      <c r="J5" s="154"/>
      <c r="K5" s="154"/>
      <c r="L5" s="154"/>
    </row>
    <row r="6" spans="2:12" ht="83.25" customHeight="1" thickBot="1" x14ac:dyDescent="0.25">
      <c r="B6" s="152" t="str">
        <f>+'Plan de acción 2025'!I13</f>
        <v>Efectividad al seguimiento del plan de acción</v>
      </c>
      <c r="C6" s="153">
        <f>IF('Plan de acción 2025'!W13="N/A",0,'Plan de acción 2025'!W13)</f>
        <v>0.25</v>
      </c>
      <c r="D6" s="153">
        <f>IF('Plan de acción 2025'!Z13="N/A",0,'Plan de acción 2025'!Z13)</f>
        <v>0</v>
      </c>
      <c r="E6" s="153">
        <f>IF('Plan de acción 2025'!AC13="N/A",0,'Plan de acción 2025'!AC13)</f>
        <v>0</v>
      </c>
      <c r="F6" s="153">
        <f>IF('Plan de acción 2025'!AF13="N/A",0,'Plan de acción 2025'!AF13)</f>
        <v>0</v>
      </c>
      <c r="G6" s="153">
        <f>SUMIF(C6:F6,"&gt;0",C6:F6)</f>
        <v>0.25</v>
      </c>
      <c r="I6" s="175" t="str">
        <f>+'Plan de acción 2025'!AL13</f>
        <v>El indicador cumple con lo establecido, ya que se evidencia que se realizó el seguimiento al Plan de Acción de la entidad correspondiente al primer trimestre cuyo cumplimiento total presenta un avance de 17%.
Se sugiere al proceso realizar este seguimiento en una fecha más cercana despues del cierre del periodo, con el fin de socializar oportunamente los resultados con los procesos y permitir que, de ser necesario, se realicen los ajustes pertinentes para los próximos trimestres, incluyendo la mejora en la presentación de evidencias.</v>
      </c>
      <c r="J6" s="154"/>
      <c r="K6" s="154"/>
      <c r="L6" s="154"/>
    </row>
    <row r="7" spans="2:12" ht="83.25" customHeight="1" thickBot="1" x14ac:dyDescent="0.25">
      <c r="B7" s="152" t="str">
        <f>+'Plan de acción 2025'!I14</f>
        <v>Porcentaje de actualización efectiva en el sistema de trámites (SUIT)</v>
      </c>
      <c r="C7" s="153">
        <f>IF('Plan de acción 2025'!W14="N/A",0,'Plan de acción 2025'!W14)</f>
        <v>0.25</v>
      </c>
      <c r="D7" s="153">
        <f>IF('Plan de acción 2025'!Z14="N/A",0,'Plan de acción 2025'!Z14)</f>
        <v>0</v>
      </c>
      <c r="E7" s="153">
        <f>IF('Plan de acción 2025'!AC14="N/A",0,'Plan de acción 2025'!AC14)</f>
        <v>0</v>
      </c>
      <c r="F7" s="153">
        <f>IF('Plan de acción 2025'!AF14="N/A",0,'Plan de acción 2025'!AF14)</f>
        <v>0</v>
      </c>
      <c r="G7" s="153">
        <f>SUMIF(C7:F7,"&gt;0",C7:F7)</f>
        <v>0.25</v>
      </c>
      <c r="I7" s="176" t="str">
        <f>+'Plan de acción 2025'!AL14</f>
        <v>El indicador cumple, ya que el proceso continúa implementando la estrategia de racionalización para el trámite de afiliaciones. Se verifica la atención de 50 PQRS relacionadas con afiliaciones, 250 sobre créditos no hipotecarios y 50 sobre créditos hipotecarios durante el trimestre.
Se sugiere al proceso mantener el seguimiento  y fortalecer el registro de solicitudes, a fin de garantizar la trazabilidad y facilitar futuros seguimientos del indicador.</v>
      </c>
      <c r="J7" s="155"/>
      <c r="K7" s="155"/>
      <c r="L7" s="155"/>
    </row>
    <row r="8" spans="2:12" ht="31.5" customHeight="1" thickBot="1" x14ac:dyDescent="0.25">
      <c r="B8" s="156" t="s">
        <v>573</v>
      </c>
      <c r="C8" s="157">
        <f>+AVERAGE(C4:C7)</f>
        <v>0.125</v>
      </c>
      <c r="D8" s="157">
        <f>+AVERAGE(D4:D7)</f>
        <v>0</v>
      </c>
      <c r="E8" s="157">
        <f>+AVERAGE(E4:E7)</f>
        <v>0</v>
      </c>
      <c r="F8" s="157">
        <f>+AVERAGE(F4:F7)</f>
        <v>0</v>
      </c>
      <c r="G8" s="157">
        <f>+AVERAGE(G4:G7)</f>
        <v>0.125</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8012E-DE83-46C9-BEBA-630A4AF957EB}">
  <dimension ref="B1:L8"/>
  <sheetViews>
    <sheetView topLeftCell="A2" zoomScale="80" zoomScaleNormal="80" workbookViewId="0">
      <selection activeCell="I5" sqref="I5"/>
    </sheetView>
  </sheetViews>
  <sheetFormatPr baseColWidth="10" defaultColWidth="10.85546875" defaultRowHeight="14.25" x14ac:dyDescent="0.2"/>
  <cols>
    <col min="1" max="1" width="3.7109375" style="135" customWidth="1"/>
    <col min="2" max="2" width="31.140625" style="135" customWidth="1"/>
    <col min="3" max="6" width="10.85546875" style="135"/>
    <col min="7" max="7" width="17" style="135" customWidth="1"/>
    <col min="8" max="8" width="6" style="135" customWidth="1"/>
    <col min="9" max="9" width="74.28515625" style="135" customWidth="1"/>
    <col min="10" max="12" width="51.42578125" style="135" customWidth="1"/>
    <col min="13" max="16384" width="10.85546875" style="135"/>
  </cols>
  <sheetData>
    <row r="1" spans="2:12" ht="15" thickBot="1" x14ac:dyDescent="0.25"/>
    <row r="2" spans="2:12" s="158" customFormat="1" ht="35.25" customHeight="1" thickBot="1" x14ac:dyDescent="0.3">
      <c r="B2" s="233" t="s">
        <v>574</v>
      </c>
      <c r="C2" s="233"/>
      <c r="D2" s="233"/>
      <c r="E2" s="233"/>
      <c r="F2" s="233"/>
      <c r="G2" s="233"/>
      <c r="I2" s="233" t="s">
        <v>563</v>
      </c>
      <c r="J2" s="233"/>
      <c r="K2" s="233"/>
      <c r="L2" s="233"/>
    </row>
    <row r="3" spans="2:12" ht="45.75" thickBot="1" x14ac:dyDescent="0.25">
      <c r="B3" s="159" t="s">
        <v>564</v>
      </c>
      <c r="C3" s="159" t="s">
        <v>565</v>
      </c>
      <c r="D3" s="159" t="s">
        <v>566</v>
      </c>
      <c r="E3" s="159" t="s">
        <v>567</v>
      </c>
      <c r="F3" s="159" t="s">
        <v>568</v>
      </c>
      <c r="G3" s="159" t="s">
        <v>581</v>
      </c>
      <c r="I3" s="160" t="s">
        <v>569</v>
      </c>
      <c r="J3" s="160" t="s">
        <v>570</v>
      </c>
      <c r="K3" s="160" t="s">
        <v>571</v>
      </c>
      <c r="L3" s="160" t="s">
        <v>572</v>
      </c>
    </row>
    <row r="4" spans="2:12" ht="114.75" customHeight="1" thickBot="1" x14ac:dyDescent="0.25">
      <c r="B4" s="161" t="str">
        <f>+'Plan de acción 2025'!H15</f>
        <v xml:space="preserve">Atender las PQRSDF dentro de los términos legales. </v>
      </c>
      <c r="C4" s="162">
        <f>IF('Plan de acción 2025'!W15="N/A",0,'Plan de acción 2025'!W15)</f>
        <v>0.25</v>
      </c>
      <c r="D4" s="162">
        <f>IF('Plan de acción 2025'!Z15="N/A",0,'Plan de acción 2025'!Z15)</f>
        <v>0</v>
      </c>
      <c r="E4" s="162">
        <f>IF('Plan de acción 2025'!AC15="N/A",0,'Plan de acción 2025'!AC15)</f>
        <v>0</v>
      </c>
      <c r="F4" s="162">
        <f>IF('Plan de acción 2025'!AE15="N/A",0,'Plan de acción 2025'!AF15)</f>
        <v>0</v>
      </c>
      <c r="G4" s="162">
        <f>SUMIF(C4:F4,"&gt;0",C4:F4)</f>
        <v>0.25</v>
      </c>
      <c r="I4" s="175" t="str">
        <f>+'Plan de acción 2025'!AL15</f>
        <v>De acuerdo con las evidencias aportadas por el proceso, se verifica el cumplimiento del indicador, con un 98% de respuestas oportunas a las PQRS recibidas (2.165 de 2.217). Sin embargo, se observa que durante gran parte del mes de enero no se registran datos en la base.
Mientras se concreta la adquisición del software especializado, se sugiere unificar la base de datos en un solo archivo de Excel, evitando la segmentación por pestañas, lo que facilitará el control, análisis y trazabilidad de la información.</v>
      </c>
      <c r="J4" s="154"/>
      <c r="K4" s="154"/>
      <c r="L4" s="154"/>
    </row>
    <row r="5" spans="2:12" ht="180.75" customHeight="1" thickBot="1" x14ac:dyDescent="0.25">
      <c r="B5" s="161" t="str">
        <f>+'Plan de acción 2025'!H16</f>
        <v xml:space="preserve">Medir la satisfacción del cliente externo, mínimo del 70% de la población atendida </v>
      </c>
      <c r="C5" s="162">
        <f>IF('Plan de acción 2025'!W16="N/A",0,'Plan de acción 2025'!W16)</f>
        <v>0.24925117672229355</v>
      </c>
      <c r="D5" s="162">
        <f>IF('Plan de acción 2025'!Z16="N/A",0,'Plan de acción 2025'!Z16)</f>
        <v>0</v>
      </c>
      <c r="E5" s="162">
        <f>IF('Plan de acción 2025'!AC16="N/A",0,'Plan de acción 2025'!AC16)</f>
        <v>0</v>
      </c>
      <c r="F5" s="162">
        <f>IF('Plan de acción 2025'!AE16="N/A",0,'Plan de acción 2025'!AF16)</f>
        <v>0</v>
      </c>
      <c r="G5" s="162">
        <f>SUMIF(C5:F5,"&gt;0",C5:F5)</f>
        <v>0.24925117672229355</v>
      </c>
      <c r="I5" s="175" t="str">
        <f>+'Plan de acción 2025'!AL16</f>
        <v>De acuerdo con la evidencia aportada por el proceso, a través del informe de encuestas de satisfacción, se verifica el cumplimiento del indicador, registrando 233 personas satisfechas y 13 que no lo estaban o no respondieron. Esto refleja que la mayoría de las personas atendidas y encuestadas están conformes con los servicios ofrecidos por la entidad.
Se sugiere al proceso aumentar el número de encuestas aplicadas, en proporción al total de personas atendidas en los puntos físicos, dado que actualmente solo se encuestó al 42% del total. Asimismo, se recomienda incluir en el informe el número de encuestas realizadas por mes y cargar en la ruta de la calidad una muestra representativa de las encuestas aplicadas mensualmente, con el fin de fortalecer la trazabilidad y respaldo del resultado.</v>
      </c>
      <c r="J5" s="154"/>
      <c r="K5" s="154"/>
      <c r="L5" s="154"/>
    </row>
    <row r="6" spans="2:12" ht="147" customHeight="1" thickBot="1" x14ac:dyDescent="0.25">
      <c r="B6" s="161" t="str">
        <f>+'Plan de acción 2025'!H17</f>
        <v>Seguimiento al Plan de Comunicaciones y  Marketing de la CSC</v>
      </c>
      <c r="C6" s="162">
        <f>IF('Plan de acción 2025'!W17="N/A",0,'Plan de acción 2025'!W17)</f>
        <v>0.16176470588235295</v>
      </c>
      <c r="D6" s="162">
        <f>IF('Plan de acción 2025'!Z17="N/A",0,'Plan de acción 2025'!Z17)</f>
        <v>0</v>
      </c>
      <c r="E6" s="162">
        <f>IF('Plan de acción 2025'!AC17="N/A",0,'Plan de acción 2025'!AC17)</f>
        <v>0</v>
      </c>
      <c r="F6" s="162">
        <f>IF('Plan de acción 2025'!AE17="N/A",0,'Plan de acción 2025'!AF17)</f>
        <v>0</v>
      </c>
      <c r="G6" s="162">
        <f>SUMIF(C6:F6,"&gt;0",C6:F6)</f>
        <v>0.16176470588235295</v>
      </c>
      <c r="I6" s="175" t="str">
        <f>+'Plan de acción 2025'!AL17</f>
        <v>En el primer trimestre, según las evidencias aportadas, el proceso ejecutó 11 de las 17 actividades programadas, lo que representa un cumplimiento parcial del 64,7%.
Se identifican actividades pendientes como la activación de canales (WhatsApp y YouTube), envío de piezas informativas a afiliados, gestión de la ferias institucionales en los municipios, uso de la plataforma de PQRS y actualización de la matriz de comunicaciones.
Se sugiere priorizar estas actividades en el siguiente trimestre y hacer seguimiento para garantizar el cumplimiento total de la meta y fortalecer la comunicación con los usuarios.</v>
      </c>
      <c r="J6" s="154"/>
      <c r="K6" s="154"/>
      <c r="L6" s="154"/>
    </row>
    <row r="7" spans="2:12" ht="102.75" customHeight="1" thickBot="1" x14ac:dyDescent="0.25">
      <c r="B7" s="161" t="str">
        <f>+'Plan de acción 2025'!H18</f>
        <v>Realizar nuevas vinculaciones durante la vigencia</v>
      </c>
      <c r="C7" s="162">
        <f>IF('Plan de acción 2025'!W18="N/A",0,'Plan de acción 2025'!W18)</f>
        <v>0.30333333333333334</v>
      </c>
      <c r="D7" s="162">
        <f>IF('Plan de acción 2025'!Z18="N/A",0,'Plan de acción 2025'!Z18)</f>
        <v>0</v>
      </c>
      <c r="E7" s="162">
        <f>IF('Plan de acción 2025'!AC18="N/A",0,'Plan de acción 2025'!AC18)</f>
        <v>0</v>
      </c>
      <c r="F7" s="162">
        <f>IF('Plan de acción 2025'!AE18="N/A",0,'Plan de acción 2025'!AF18)</f>
        <v>0</v>
      </c>
      <c r="G7" s="162">
        <f>SUMIF(C7:F7,"&gt;0",C7:F7)</f>
        <v>0.30333333333333334</v>
      </c>
      <c r="I7" s="176" t="str">
        <f>+'Plan de acción 2025'!AL18</f>
        <v>De acuerdo con la evidencia aportada, durante el primer trimestre del año 2025 el proceso alcanzó un cumplimiento del 30,33% frente a la meta anual de 600 nuevas afiliaciones, lo que refleja un avance positivo en el cumplimiento del indicador. Se sugiere mantener e incluso fortalecer las estrategias de afiliación actuales para asegurar el cumplimiento de la meta anual, evaluando posibles ajustes o refuerzos en la gestión comercial durante los siguientes trimestres.</v>
      </c>
      <c r="J7" s="155"/>
      <c r="K7" s="155"/>
      <c r="L7" s="155"/>
    </row>
    <row r="8" spans="2:12" ht="33" customHeight="1" thickBot="1" x14ac:dyDescent="0.25">
      <c r="B8" s="163" t="s">
        <v>573</v>
      </c>
      <c r="C8" s="157">
        <f>+AVERAGE(C4:C7)</f>
        <v>0.24108730398449496</v>
      </c>
      <c r="D8" s="157">
        <f>+AVERAGE(D4:D7)</f>
        <v>0</v>
      </c>
      <c r="E8" s="157">
        <f>+AVERAGE(E4:E7)</f>
        <v>0</v>
      </c>
      <c r="F8" s="157">
        <f>+AVERAGE(F4:F7)</f>
        <v>0</v>
      </c>
      <c r="G8" s="157">
        <f>+AVERAGE(G4:G7)</f>
        <v>0.24108730398449496</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C7520-2B34-4520-A94A-419C2C59D958}">
  <dimension ref="B1:L8"/>
  <sheetViews>
    <sheetView zoomScale="90" zoomScaleNormal="90" workbookViewId="0">
      <selection activeCell="C8" sqref="C8"/>
    </sheetView>
  </sheetViews>
  <sheetFormatPr baseColWidth="10" defaultColWidth="10.85546875" defaultRowHeight="15" x14ac:dyDescent="0.25"/>
  <cols>
    <col min="1" max="1" width="4.28515625" style="164" customWidth="1"/>
    <col min="2" max="2" width="53.7109375" style="164" customWidth="1"/>
    <col min="3" max="6" width="10.85546875" style="164"/>
    <col min="7" max="7" width="18.7109375" style="164" customWidth="1"/>
    <col min="8" max="8" width="6" style="164" customWidth="1"/>
    <col min="9" max="9" width="62.85546875" style="164" customWidth="1"/>
    <col min="10" max="10" width="52.42578125" style="164" customWidth="1"/>
    <col min="11" max="11" width="48.140625" style="164" customWidth="1"/>
    <col min="12" max="12" width="20.7109375" style="164" customWidth="1"/>
    <col min="13" max="16384" width="10.85546875" style="164"/>
  </cols>
  <sheetData>
    <row r="1" spans="2:12" ht="15.75" thickBot="1" x14ac:dyDescent="0.3"/>
    <row r="2" spans="2:12" ht="24" thickBot="1" x14ac:dyDescent="0.4">
      <c r="B2" s="234" t="s">
        <v>575</v>
      </c>
      <c r="C2" s="234"/>
      <c r="D2" s="234"/>
      <c r="E2" s="234"/>
      <c r="F2" s="234"/>
      <c r="G2" s="234"/>
      <c r="I2" s="234" t="s">
        <v>576</v>
      </c>
      <c r="J2" s="234"/>
      <c r="K2" s="234"/>
      <c r="L2" s="234"/>
    </row>
    <row r="3" spans="2:12" ht="45.75" thickBot="1" x14ac:dyDescent="0.3">
      <c r="B3" s="159" t="s">
        <v>564</v>
      </c>
      <c r="C3" s="160" t="s">
        <v>577</v>
      </c>
      <c r="D3" s="160" t="s">
        <v>578</v>
      </c>
      <c r="E3" s="160" t="s">
        <v>579</v>
      </c>
      <c r="F3" s="160" t="s">
        <v>580</v>
      </c>
      <c r="G3" s="160" t="s">
        <v>581</v>
      </c>
      <c r="I3" s="160" t="s">
        <v>569</v>
      </c>
      <c r="J3" s="160" t="s">
        <v>570</v>
      </c>
      <c r="K3" s="160" t="s">
        <v>571</v>
      </c>
      <c r="L3" s="160" t="s">
        <v>572</v>
      </c>
    </row>
    <row r="4" spans="2:12" ht="147.75" customHeight="1" thickBot="1" x14ac:dyDescent="0.3">
      <c r="B4" s="165" t="str">
        <f>+'Plan de acción 2025'!H19</f>
        <v>Beneficiar el 20% de los afiliados y beneficiarios con las actividades y servicios de bienestar que presta la Corporación.</v>
      </c>
      <c r="C4" s="166">
        <f>IF('Plan de acción 2025'!W19="N/A",0,'Plan de acción 2025'!W19)</f>
        <v>0.2910495814552479</v>
      </c>
      <c r="D4" s="166">
        <f>IF('Plan de acción 2025'!Z19="N/A",0,'Plan de acción 2025'!Z19)</f>
        <v>0</v>
      </c>
      <c r="E4" s="166">
        <f>IF('Plan de acción 2025'!AC19="N/A",0,'Plan de acción 2025'!AC19)</f>
        <v>0</v>
      </c>
      <c r="F4" s="166">
        <f>IF('Plan de acción 2025'!AF9="N/A",0,'Plan de acción 2025'!AF19)</f>
        <v>0</v>
      </c>
      <c r="G4" s="166">
        <f>SUMIF(C4:F4,"&gt;0",C4:F4)</f>
        <v>0.2910495814552479</v>
      </c>
      <c r="I4" s="175" t="str">
        <f>+'Plan de acción 2025'!AL19</f>
        <v>Durante el primer trimestre del año 2025, el proceso cumple con la meta del indicador, al beneficiar a 1.808 afiliados a través de la entrega de incentivos (anchetas) y asistencia a capacitaciones, superando la meta planteada de 1.553 beneficiarios. Se sugiere al proceso fortalecer las evidencias aportadas, incluyendo registros fotográficos, así como un informe detallado de la entrega de anchetas del proceso .
Respecto a la firma de alianzas, se solicita especificar y aportar la evidencia correspondiente, ya sea mediante copia del convenio, acta de compromiso, informe de gestión o documento que sustente formalmente la alianza establecida.</v>
      </c>
      <c r="J4" s="168"/>
      <c r="K4" s="168"/>
      <c r="L4" s="169"/>
    </row>
    <row r="5" spans="2:12" ht="134.25" customHeight="1" thickBot="1" x14ac:dyDescent="0.3">
      <c r="B5" s="165" t="str">
        <f>+'Plan de acción 2025'!H20</f>
        <v>Beneficiar a los afiliados con actividades   encaminadas a difundir y promocionar el portafolio de servicios de la entidad. Asesorando y tramitando tanto créditos como afiliaciones de manera virtual y presencial  en los diferentes municipios del Departamento.</v>
      </c>
      <c r="C5" s="166">
        <f>IF('Plan de acción 2025'!W20="N/A",0,'Plan de acción 2025'!W20)</f>
        <v>0.23958333333333334</v>
      </c>
      <c r="D5" s="166">
        <f>IF('Plan de acción 2025'!Z20="N/A",0,'Plan de acción 2025'!Z20)</f>
        <v>0</v>
      </c>
      <c r="E5" s="166">
        <f>IF('Plan de acción 2025'!AC20="N/A",0,'Plan de acción 2025'!AC20)</f>
        <v>0</v>
      </c>
      <c r="F5" s="166">
        <f>IF('Plan de acción 2025'!AF10="N/A",0,'Plan de acción 2025'!AF20)</f>
        <v>0</v>
      </c>
      <c r="G5" s="166">
        <f>SUMIF(C5:F5,"&gt;0",C5:F5)</f>
        <v>0.23958333333333334</v>
      </c>
      <c r="I5" s="175" t="str">
        <f>+'Plan de acción 2025'!AL20</f>
        <v>De acuerdo con las evidencias aportadas, el proceso cumple con el indicador. Se verifica que, a través de los asesores comerciales, se realizaron visitas a 23 de los 24 municipios programados para el primer trimestre de 2025, lo cual refleja un buen avance en la meta de cobertura.
Se sugiere priorizar, en el próximo trimestre, la visita al municipio que no fue atendido, con el fin de evitar acumulaciones y asegurar el cumplimiento de la meta anual de visitar 100 municipios diferentes. Esta acción permitirá mantener una cobertura equitativa en el territorio y facilitará el cumplimiento oportuno del indicador.</v>
      </c>
      <c r="J5" s="168"/>
      <c r="K5" s="168"/>
      <c r="L5" s="169"/>
    </row>
    <row r="6" spans="2:12" ht="111.75" customHeight="1" thickBot="1" x14ac:dyDescent="0.3">
      <c r="B6" s="165" t="str">
        <f>+'Plan de acción 2025'!H21</f>
        <v xml:space="preserve">Beneficiar a los hijos de nuestros afiliados con incentivo económico que exalta el desempeño académico ICFES SABER 11 y estudiantes  que iniciaron con anterioridad  sus actividades académicas  de nivel superior  y obtuvieron en el último certificado de notas promedio ponderado igual o superior a 3.8 o su equivalente y que cumplan los requisitos establecidos por la entidad.  </v>
      </c>
      <c r="C6" s="166">
        <f>IF('Plan de acción 2025'!W21="N/A",0,'Plan de acción 2025'!W21)</f>
        <v>0</v>
      </c>
      <c r="D6" s="166">
        <f>IF('Plan de acción 2025'!Z21="N/A",0,'Plan de acción 2025'!Z21)</f>
        <v>0</v>
      </c>
      <c r="E6" s="166">
        <f>IF('Plan de acción 2025'!AC21="N/A",0,'Plan de acción 2025'!AC21)</f>
        <v>0</v>
      </c>
      <c r="F6" s="166">
        <f>IF('Plan de acción 2025'!AF11="N/A",0,'Plan de acción 2025'!AF21)</f>
        <v>0</v>
      </c>
      <c r="G6" s="166">
        <f>SUMIF(C6:F6,"&gt;0",C6:F6)</f>
        <v>0</v>
      </c>
      <c r="I6" s="176" t="str">
        <f>+'Plan de acción 2025'!AL21</f>
        <v>El indicador no presenta seguimiento formal durante este trimestre. Sin embargo, se evidencia que el proceso realizó efectivamente el trámite y giro de 32 subsidios en el periodo evaluado.
Se recomienda al proceso continuar con el seguimiento, aprobación y registro oportuno de los subsidios educativos, con el fin de asegurar el cumplimiento de la meta establecida para el próximo trimestre. Esto permitirá mantener la trazabilidad del indicador y garantizar una adecuada planificación.</v>
      </c>
      <c r="J6" s="171"/>
      <c r="K6" s="171"/>
      <c r="L6" s="172"/>
    </row>
    <row r="7" spans="2:12" s="135" customFormat="1" ht="35.25" customHeight="1" thickBot="1" x14ac:dyDescent="0.3">
      <c r="B7" s="173" t="s">
        <v>573</v>
      </c>
      <c r="C7" s="174">
        <f>AVERAGE(C4:C6)</f>
        <v>0.1768776382628604</v>
      </c>
      <c r="D7" s="174">
        <f>AVERAGE(D4:D6)</f>
        <v>0</v>
      </c>
      <c r="E7" s="174">
        <f>AVERAGE(E4:E6)</f>
        <v>0</v>
      </c>
      <c r="F7" s="174">
        <f>AVERAGE(F4:F6)</f>
        <v>0</v>
      </c>
      <c r="G7" s="174">
        <f>AVERAGE(G4:G6)</f>
        <v>0.1768776382628604</v>
      </c>
      <c r="I7" s="164"/>
      <c r="J7" s="164"/>
      <c r="K7" s="164"/>
      <c r="L7" s="164"/>
    </row>
    <row r="8" spans="2:12" x14ac:dyDescent="0.25">
      <c r="C8" s="164">
        <f>(+C4+C5+C6)/3</f>
        <v>0.1768776382628604</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ACF0D-C1CC-4241-990A-E424F7034EF9}">
  <dimension ref="B1:L7"/>
  <sheetViews>
    <sheetView zoomScale="90" zoomScaleNormal="90" workbookViewId="0">
      <selection activeCell="B5" sqref="B5"/>
    </sheetView>
  </sheetViews>
  <sheetFormatPr baseColWidth="10" defaultColWidth="10.85546875" defaultRowHeight="15" x14ac:dyDescent="0.25"/>
  <cols>
    <col min="1" max="1" width="3.42578125" style="177" customWidth="1"/>
    <col min="2" max="2" width="37.28515625" style="177" customWidth="1"/>
    <col min="3" max="3" width="11.42578125" style="177" customWidth="1"/>
    <col min="4" max="5" width="11" style="177" customWidth="1"/>
    <col min="6" max="6" width="10.42578125" style="177" customWidth="1"/>
    <col min="7" max="7" width="19.42578125" style="177" customWidth="1"/>
    <col min="8" max="8" width="6" style="177" customWidth="1"/>
    <col min="9" max="9" width="69.7109375" style="177" customWidth="1"/>
    <col min="10" max="12" width="55.85546875" style="177" customWidth="1"/>
    <col min="13" max="16384" width="10.85546875" style="177"/>
  </cols>
  <sheetData>
    <row r="1" spans="2:12" ht="15.75" thickBot="1" x14ac:dyDescent="0.3"/>
    <row r="2" spans="2:12" ht="24" thickBot="1" x14ac:dyDescent="0.4">
      <c r="B2" s="234" t="s">
        <v>582</v>
      </c>
      <c r="C2" s="234"/>
      <c r="D2" s="234"/>
      <c r="E2" s="234"/>
      <c r="F2" s="234"/>
      <c r="G2" s="234"/>
      <c r="I2" s="234" t="s">
        <v>576</v>
      </c>
      <c r="J2" s="234"/>
      <c r="K2" s="234"/>
      <c r="L2" s="234"/>
    </row>
    <row r="3" spans="2:12" ht="45.75" thickBot="1" x14ac:dyDescent="0.3">
      <c r="B3" s="159" t="s">
        <v>564</v>
      </c>
      <c r="C3" s="159" t="s">
        <v>565</v>
      </c>
      <c r="D3" s="159" t="s">
        <v>566</v>
      </c>
      <c r="E3" s="159" t="s">
        <v>567</v>
      </c>
      <c r="F3" s="159" t="s">
        <v>568</v>
      </c>
      <c r="G3" s="159" t="s">
        <v>581</v>
      </c>
      <c r="I3" s="160" t="s">
        <v>569</v>
      </c>
      <c r="J3" s="160" t="s">
        <v>570</v>
      </c>
      <c r="K3" s="160" t="s">
        <v>571</v>
      </c>
      <c r="L3" s="160" t="s">
        <v>572</v>
      </c>
    </row>
    <row r="4" spans="2:12" ht="110.25" customHeight="1" thickBot="1" x14ac:dyDescent="0.3">
      <c r="B4" s="178" t="str">
        <f>+'Plan de acción 2025'!H22</f>
        <v xml:space="preserve">Colocación de créditos. </v>
      </c>
      <c r="C4" s="179">
        <f>IF('Plan de acción 2025'!W22="N/A",0,'Plan de acción 2025'!W22)</f>
        <v>0.10133333333333333</v>
      </c>
      <c r="D4" s="179">
        <f>IF('Plan de acción 2025'!Z22="N/A",0,'Plan de acción 2025'!Z22)</f>
        <v>0</v>
      </c>
      <c r="E4" s="179">
        <f>IF('Plan de acción 2025'!AC22="N/A",0,'Plan de acción 2025'!AC22)</f>
        <v>0</v>
      </c>
      <c r="F4" s="179">
        <f>IF('Plan de acción 2025'!AF22="N/A",0,'Plan de acción 2025'!AF22)</f>
        <v>0</v>
      </c>
      <c r="G4" s="179">
        <f>SUMIF(C4:F4,"&gt;0",C4:F4)</f>
        <v>0.10133333333333333</v>
      </c>
      <c r="I4" s="175" t="str">
        <f>+'Plan de acción 2025'!AL22</f>
        <v>Durante el trimestre se desembolsaron 152 créditos en las diferentes líneas ofrecidas, por un valor de $3.411.070.729, lo que equivale a un avance del 10,13% frente a la meta anual (1500). Este resultado refleja un buen ritmo en la ejecución de créditos. Se recomienda al proceso continuar con el seguimiento a la colocación, garantizando la trazabilidad de las líneas más demandadas y evaluando periódicamente el comportamiento de la ejecución frente a lo proyectado, con el fin de fortalecer la toma de decisiones y la planeación.</v>
      </c>
      <c r="J4" s="167"/>
      <c r="K4" s="167"/>
      <c r="L4" s="167"/>
    </row>
    <row r="5" spans="2:12" ht="114.75" customHeight="1" thickBot="1" x14ac:dyDescent="0.3">
      <c r="B5" s="178" t="str">
        <f>+'Plan de acción 2025'!H23</f>
        <v>Asegurar el cumplimiento de tiempos en los Créditos hipotecarios.</v>
      </c>
      <c r="C5" s="179">
        <f>IF('Plan de acción 2025'!W23="N/A",0,'Plan de acción 2025'!W23)</f>
        <v>0.25</v>
      </c>
      <c r="D5" s="179">
        <f>IF('Plan de acción 2025'!Z23="N/A",0,'Plan de acción 2025'!Z23)</f>
        <v>0</v>
      </c>
      <c r="E5" s="179">
        <f>IF('Plan de acción 2025'!AC23="N/A",0,'Plan de acción 2025'!AC23)</f>
        <v>0</v>
      </c>
      <c r="F5" s="179">
        <f>IF('Plan de acción 2025'!AF23="N/A",0,'Plan de acción 2025'!AF23)</f>
        <v>0</v>
      </c>
      <c r="G5" s="179">
        <f>SUMIF(C5:F5,"&gt;0",C5:F5)</f>
        <v>0.25</v>
      </c>
      <c r="I5" s="175" t="str">
        <f>+'Plan de acción 2025'!AL23</f>
        <v>De acuerdo al seguimiento realizado, se evidencia que 10 de los 152 créditos colocados durante el trimestre corresponden a créditos hipotecarios, los cuales fueron desembolsados en un tiempo menor a los 60 días, cumpliendo con la meta establecida para el indicador correspondiente. Este resultado refleja una adecuada gestión del proceso en términos de oportunidad y cumplimiento de los plazos definidos. Se recomienda continuar con el monitoreo constante de los tiempos de trámite, a fin de mantener la eficiencia y prevenir posibles retrasos en futuras solicitudes.</v>
      </c>
      <c r="J5" s="167"/>
      <c r="K5" s="167"/>
      <c r="L5" s="167"/>
    </row>
    <row r="6" spans="2:12" ht="132" customHeight="1" thickBot="1" x14ac:dyDescent="0.3">
      <c r="B6" s="178" t="str">
        <f>+'Plan de acción 2025'!H24</f>
        <v>Asegurar el cumplimiento de tiempos en el Crédito de consumo.</v>
      </c>
      <c r="C6" s="179">
        <f>IF('Plan de acción 2025'!W24="N/A",0,'Plan de acción 2025'!W24)</f>
        <v>0.25</v>
      </c>
      <c r="D6" s="179">
        <f>IF('Plan de acción 2025'!Z24="N/A",0,'Plan de acción 2025'!Z24)</f>
        <v>0</v>
      </c>
      <c r="E6" s="179">
        <f>IF('Plan de acción 2025'!AC24="N/A",0,'Plan de acción 2025'!AC24)</f>
        <v>0</v>
      </c>
      <c r="F6" s="179">
        <f>IF('Plan de acción 2025'!AF24="N/A",0,'Plan de acción 2025'!AF24)</f>
        <v>0</v>
      </c>
      <c r="G6" s="179">
        <f>SUMIF(C6:F6,"&gt;0",C6:F6)</f>
        <v>0.25</v>
      </c>
      <c r="I6" s="176" t="str">
        <f>+'Plan de acción 2025'!AL24</f>
        <v>Del total de 152 créditos desembolsados durante el trimestre, se verificó que 142 fueron entregados en un plazo menor a 30 días, cumpliendo con la meta del indicador relacionado con la eficiencia en el tiempo de desembolso. El análisis muestra que el crédito con mayor tiempo de trámite fue de 27 días y el menor de 4 días, lo cual evidencia un proceso ágil y con tiempos de respuesta dentro de los parámetros establecidos.  Se recomienda al proceso mantener el seguimiento a los tiempos de desembolso, con el fin de identificar posibles cuellos de botella y fortalecer las acciones que permitan reducir aún más los tiempos de trámite, buscando desembolsar los créditos en el menor tiempo posible sin afectar la calidad del proceso.</v>
      </c>
      <c r="J6" s="170"/>
      <c r="K6" s="170"/>
      <c r="L6" s="170"/>
    </row>
    <row r="7" spans="2:12" s="181" customFormat="1" ht="21.75" customHeight="1" thickBot="1" x14ac:dyDescent="0.3">
      <c r="B7" s="173" t="s">
        <v>573</v>
      </c>
      <c r="C7" s="180">
        <f>+AVERAGE(C4:C6)</f>
        <v>0.20044444444444443</v>
      </c>
      <c r="D7" s="180">
        <f>+AVERAGE(D4:D6)</f>
        <v>0</v>
      </c>
      <c r="E7" s="180">
        <f>+AVERAGE(E4:E6)</f>
        <v>0</v>
      </c>
      <c r="F7" s="180">
        <f>+AVERAGE(F4:F6)</f>
        <v>0</v>
      </c>
      <c r="G7" s="180">
        <f>+AVERAGE(G4:G6)</f>
        <v>0.20044444444444443</v>
      </c>
      <c r="I7" s="177"/>
      <c r="J7" s="177"/>
      <c r="K7" s="177"/>
      <c r="L7" s="177"/>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7DA393-53E5-4275-BAA0-7BBB10FF3C19}">
  <dimension ref="B1:L8"/>
  <sheetViews>
    <sheetView zoomScale="90" zoomScaleNormal="90" workbookViewId="0">
      <selection activeCell="G10" sqref="G10"/>
    </sheetView>
  </sheetViews>
  <sheetFormatPr baseColWidth="10" defaultColWidth="10.85546875" defaultRowHeight="15" x14ac:dyDescent="0.25"/>
  <cols>
    <col min="1" max="1" width="3.42578125" style="177" customWidth="1"/>
    <col min="2" max="2" width="37.28515625" style="177" customWidth="1"/>
    <col min="3" max="3" width="11.42578125" style="177" customWidth="1"/>
    <col min="4" max="5" width="11" style="177" customWidth="1"/>
    <col min="6" max="6" width="10.42578125" style="177" customWidth="1"/>
    <col min="7" max="7" width="19.42578125" style="177" customWidth="1"/>
    <col min="8" max="8" width="6" style="177" customWidth="1"/>
    <col min="9" max="12" width="62.140625" style="177" customWidth="1"/>
    <col min="13" max="16384" width="10.85546875" style="177"/>
  </cols>
  <sheetData>
    <row r="1" spans="2:12" ht="15.75" thickBot="1" x14ac:dyDescent="0.3"/>
    <row r="2" spans="2:12" ht="24" thickBot="1" x14ac:dyDescent="0.4">
      <c r="B2" s="234" t="s">
        <v>582</v>
      </c>
      <c r="C2" s="234"/>
      <c r="D2" s="234"/>
      <c r="E2" s="234"/>
      <c r="F2" s="234"/>
      <c r="G2" s="234"/>
      <c r="I2" s="234" t="s">
        <v>563</v>
      </c>
      <c r="J2" s="234"/>
      <c r="K2" s="234"/>
      <c r="L2" s="234"/>
    </row>
    <row r="3" spans="2:12" ht="45.75" thickBot="1" x14ac:dyDescent="0.3">
      <c r="B3" s="159" t="s">
        <v>564</v>
      </c>
      <c r="C3" s="159" t="s">
        <v>565</v>
      </c>
      <c r="D3" s="159" t="s">
        <v>566</v>
      </c>
      <c r="E3" s="159" t="s">
        <v>567</v>
      </c>
      <c r="F3" s="159" t="s">
        <v>568</v>
      </c>
      <c r="G3" s="159" t="s">
        <v>581</v>
      </c>
      <c r="I3" s="160" t="s">
        <v>569</v>
      </c>
      <c r="J3" s="160" t="s">
        <v>570</v>
      </c>
      <c r="K3" s="160" t="s">
        <v>571</v>
      </c>
      <c r="L3" s="160" t="s">
        <v>572</v>
      </c>
    </row>
    <row r="4" spans="2:12" ht="112.5" customHeight="1" thickBot="1" x14ac:dyDescent="0.3">
      <c r="B4" s="178" t="str">
        <f>+'Plan de acción 2025'!H25</f>
        <v>Disminuir el porcentaje de cartera vencida en dos puntos(2), de acuerdo con el resultado del indicador a 31 diciembre del año inmediatamente anterior</v>
      </c>
      <c r="C4" s="179">
        <f>IF('Plan de acción 2025'!W25="N/A",0,'Plan de acción 2025'!W25)</f>
        <v>0.2155172413793103</v>
      </c>
      <c r="D4" s="179" t="str">
        <f>IF('Plan de acción 2025'!Z25="N/A",0,'Plan de acción 2025'!Z25)</f>
        <v>0</v>
      </c>
      <c r="E4" s="179" t="str">
        <f>IF('Plan de acción 2025'!AC25="N/A",0,'Plan de acción 2025'!AC25)</f>
        <v>0</v>
      </c>
      <c r="F4" s="179" t="str">
        <f>IF('Plan de acción 2025'!AF25="N/A",0,'Plan de acción 2025'!AF25)</f>
        <v>0</v>
      </c>
      <c r="G4" s="179">
        <f>SUMIF(C4:F4,"&gt;0",C4:F4)</f>
        <v>0.2155172413793103</v>
      </c>
      <c r="I4" s="175" t="str">
        <f>+'Plan de acción 2025'!AL25</f>
        <v>El porcentaje de cartera en estado jurídico no alcanzó la meta para el primer trimestre, ya que se registró un 33%, de acuerdo con la meta esperada del 29%. Esto muestra que hay muchos casos que están llegando a instancias legales, lo cual puede dificultar la recuperación del dinero. Por lo tanto, el proceso debe buscar nuevas estrategias de cobro que permitan actuar con mayor anticipación, para evitar que más obligaciones pasen a esta etapa. Es importante revisar lo que está fallando en las etapas previas y fortalecer las acciones que ayuden a mejorar el resultado en los próximos meses.</v>
      </c>
      <c r="J4" s="167"/>
      <c r="K4" s="167"/>
      <c r="L4" s="167"/>
    </row>
    <row r="5" spans="2:12" ht="112.5" customHeight="1" thickBot="1" x14ac:dyDescent="0.3">
      <c r="B5" s="178" t="str">
        <f>+'Plan de acción 2025'!H26</f>
        <v xml:space="preserve">Aplicar el total del valor recaudado de las diferentes pagadurías y recibos por ventanilla. </v>
      </c>
      <c r="C5" s="179">
        <f>IF('Plan de acción 2025'!W26="N/A",0,'Plan de acción 2025'!W26)</f>
        <v>0.25</v>
      </c>
      <c r="D5" s="179">
        <f>IF('Plan de acción 2025'!Z26="N/A",0,'Plan de acción 2025'!Z26)</f>
        <v>0</v>
      </c>
      <c r="E5" s="179">
        <f>IF('Plan de acción 2025'!AC26="N/A",0,'Plan de acción 2025'!AC26)</f>
        <v>0</v>
      </c>
      <c r="F5" s="179">
        <f>IF('Plan de acción 2025'!AF26="N/A",0,'Plan de acción 2025'!AF26)</f>
        <v>0</v>
      </c>
      <c r="G5" s="179">
        <f>SUMIF(C5:F5,"&gt;0",C5:F5)</f>
        <v>0.25</v>
      </c>
      <c r="I5" s="175" t="str">
        <f>+'Plan de acción 2025'!AL26</f>
        <v>El indicador cumple con la meta establecida de realizar los desglozes en más del 95% reportando un resultado de 99,70% durante el primer trimestre, lo que evidencia una gestión efectiva por parte del proceso en cuanto a la articulación con las pagadurías. No obstante, se recomienda avanzar en las acciones necesarias para legalizar los ingresos correspondientes al mes de enero, particularmente los asociados a las pagadurías de la Empresa de Servicios del Gualivá, Facatativá y Fosca Salud.</v>
      </c>
      <c r="J5" s="167"/>
      <c r="K5" s="167"/>
      <c r="L5" s="167"/>
    </row>
    <row r="6" spans="2:12" ht="112.5" customHeight="1" thickBot="1" x14ac:dyDescent="0.3">
      <c r="B6" s="178" t="str">
        <f>+'Plan de acción 2025'!H27</f>
        <v>Disminuir el porcentaje de cartera en "estado persuasivo"</v>
      </c>
      <c r="C6" s="179">
        <f>IF('Plan de acción 2025'!W27="N/A",0,'Plan de acción 2025'!W27)</f>
        <v>0.25</v>
      </c>
      <c r="D6" s="179">
        <f>IF('Plan de acción 2025'!Z27="N/A",0,'Plan de acción 2025'!Z27)</f>
        <v>0</v>
      </c>
      <c r="E6" s="179">
        <f>IF('Plan de acción 2025'!AC27="N/A",0,'Plan de acción 2025'!AC27)</f>
        <v>0</v>
      </c>
      <c r="F6" s="179">
        <f>IF('Plan de acción 2025'!AF27="N/A",0,'Plan de acción 2025'!AF27)</f>
        <v>0</v>
      </c>
      <c r="G6" s="179">
        <f>SUMIF(C6:F6,"&gt;0",C6:F6)</f>
        <v>0.25</v>
      </c>
      <c r="I6" s="175" t="str">
        <f>+'Plan de acción 2025'!AL27</f>
        <v>El proceso muestra un buen resultado, manteniendo la cartera en estado persuasivo en 2%, cumpliendo con la meta. La estrategía de comunicación con los deudores por medio de correo ha sido efectiva.  . Sin embargo, no hay evidencia de dichos correos. Se recomienda fortalecer la gestión con más canales de contacto como llamadas o mensajes, lo cual sería ideal para hacer un mejor seguimientoy dejar registro de todo, para evitar que los deudores pasen a una etapa más difícil de cobro.</v>
      </c>
      <c r="J6" s="167"/>
      <c r="K6" s="167"/>
      <c r="L6" s="167"/>
    </row>
    <row r="7" spans="2:12" ht="112.5" customHeight="1" thickBot="1" x14ac:dyDescent="0.3">
      <c r="B7" s="178" t="str">
        <f>+'Plan de acción 2025'!H28</f>
        <v>Disminuir el porcentaje de cartera en estado pre-jurídico</v>
      </c>
      <c r="C7" s="179">
        <f>IF('Plan de acción 2025'!W28="N/A",0,'Plan de acción 2025'!W28)</f>
        <v>0.25</v>
      </c>
      <c r="D7" s="179">
        <f>IF('Plan de acción 2025'!Z28="N/A",0,'Plan de acción 2025'!Z28)</f>
        <v>0</v>
      </c>
      <c r="E7" s="179">
        <f>IF('Plan de acción 2025'!AC28="N/A",0,'Plan de acción 2025'!AC28)</f>
        <v>0</v>
      </c>
      <c r="F7" s="179">
        <f>IF('Plan de acción 2025'!AF28="N/A",0,'Plan de acción 2025'!AF28)</f>
        <v>0</v>
      </c>
      <c r="G7" s="179">
        <f>SUMIF(C7:F7,"&gt;0",C7:F7)</f>
        <v>0.25</v>
      </c>
      <c r="I7" s="176" t="str">
        <f>+'Plan de acción 2025'!AL28</f>
        <v>El proceso durante el primer trimestre cumple el indicador, manteniendo por debajo del 3% la cartera en estado pre-juridico. Si bien se destaca la gestión realizada por el personal contratado y la implementación de una estrategia masiva de comunicación, se recomienda complementar estas acciones con otros canales como llamadas telefónicas o mensajes de texto, que permitan un contacto más directo con los deudores. Además, es importante dejar evidencia de estas gestiones, para fortalecer el seguimiento y prevenir que los casos avancen a cobro jurídico.</v>
      </c>
      <c r="J7" s="170"/>
      <c r="K7" s="170"/>
      <c r="L7" s="170"/>
    </row>
    <row r="8" spans="2:12" s="181" customFormat="1" ht="21.75" customHeight="1" thickBot="1" x14ac:dyDescent="0.3">
      <c r="B8" s="173" t="s">
        <v>573</v>
      </c>
      <c r="C8" s="180">
        <f>+AVERAGE(C4:C7)</f>
        <v>0.24137931034482757</v>
      </c>
      <c r="D8" s="180">
        <f>+AVERAGE(D4:D7)</f>
        <v>0</v>
      </c>
      <c r="E8" s="180">
        <f>+AVERAGE(E4:E7)</f>
        <v>0</v>
      </c>
      <c r="F8" s="180">
        <f>+AVERAGE(F4:F7)</f>
        <v>0</v>
      </c>
      <c r="G8" s="180">
        <f>+AVERAGE(G4:G7)</f>
        <v>0.24137931034482757</v>
      </c>
      <c r="I8" s="177"/>
      <c r="J8" s="177"/>
      <c r="K8" s="177"/>
      <c r="L8" s="177"/>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55DB7-F8CD-4943-B1C0-6317E79B3A38}">
  <dimension ref="B1:L7"/>
  <sheetViews>
    <sheetView zoomScale="90" zoomScaleNormal="90" workbookViewId="0">
      <selection activeCell="I6" sqref="I6"/>
    </sheetView>
  </sheetViews>
  <sheetFormatPr baseColWidth="10" defaultColWidth="10.85546875" defaultRowHeight="14.25" x14ac:dyDescent="0.2"/>
  <cols>
    <col min="1" max="1" width="10.85546875" style="135"/>
    <col min="2" max="2" width="35.42578125" style="135" customWidth="1"/>
    <col min="3" max="6" width="10.85546875" style="135"/>
    <col min="7" max="7" width="14.42578125" style="135" customWidth="1"/>
    <col min="8" max="8" width="6" style="135" customWidth="1"/>
    <col min="9" max="10" width="61.42578125" style="135" customWidth="1"/>
    <col min="11" max="11" width="63.42578125" style="135" customWidth="1"/>
    <col min="12" max="12" width="61.42578125" style="135" customWidth="1"/>
    <col min="13" max="16384" width="10.85546875" style="135"/>
  </cols>
  <sheetData>
    <row r="1" spans="2:12" ht="15" thickBot="1" x14ac:dyDescent="0.25"/>
    <row r="2" spans="2:12" ht="37.5" customHeight="1" thickBot="1" x14ac:dyDescent="0.25">
      <c r="B2" s="235" t="s">
        <v>583</v>
      </c>
      <c r="C2" s="235"/>
      <c r="D2" s="235"/>
      <c r="E2" s="235"/>
      <c r="F2" s="235"/>
      <c r="G2" s="235"/>
      <c r="I2" s="235" t="s">
        <v>563</v>
      </c>
      <c r="J2" s="235"/>
      <c r="K2" s="235"/>
      <c r="L2" s="235"/>
    </row>
    <row r="3" spans="2:12" ht="60.75" thickBot="1" x14ac:dyDescent="0.25">
      <c r="B3" s="159" t="s">
        <v>564</v>
      </c>
      <c r="C3" s="159" t="s">
        <v>565</v>
      </c>
      <c r="D3" s="159" t="s">
        <v>566</v>
      </c>
      <c r="E3" s="159" t="s">
        <v>567</v>
      </c>
      <c r="F3" s="159" t="s">
        <v>568</v>
      </c>
      <c r="G3" s="159" t="s">
        <v>581</v>
      </c>
      <c r="I3" s="160" t="s">
        <v>569</v>
      </c>
      <c r="J3" s="160" t="s">
        <v>570</v>
      </c>
      <c r="K3" s="160" t="s">
        <v>571</v>
      </c>
      <c r="L3" s="160" t="s">
        <v>572</v>
      </c>
    </row>
    <row r="4" spans="2:12" ht="162" customHeight="1" thickBot="1" x14ac:dyDescent="0.25">
      <c r="B4" s="182" t="str">
        <f>+'Plan de acción 2025'!H29</f>
        <v>Realizar la  gestión contractual acorde con la programación establecida en el Plan Anual de Adquisiciones</v>
      </c>
      <c r="C4" s="183">
        <f>IF('Plan de acción 2025'!W29="N/A",0,'Plan de acción 2025'!W29)</f>
        <v>0.13709677419354838</v>
      </c>
      <c r="D4" s="183">
        <f>IF('Plan de acción 2025'!Z29="N/A",0,'Plan de acción 2025'!Z29)</f>
        <v>0</v>
      </c>
      <c r="E4" s="183">
        <f>IF('Plan de acción 2025'!AC29="N/A",0,'Plan de acción 2025'!AC29)</f>
        <v>0</v>
      </c>
      <c r="F4" s="183">
        <f>IF('Plan de acción 2025'!AF29="N/A",0,'Plan de acción 2025'!AF29)</f>
        <v>0</v>
      </c>
      <c r="G4" s="183">
        <f>SUMIF(C4:F4,"&gt;0",C4:F4)</f>
        <v>0.13709677419354838</v>
      </c>
      <c r="I4" s="167" t="str">
        <f>+'Plan de acción 2025'!AL29</f>
        <v>Si bien el proceso ha realizado un esfuerzo importante para cumplir con las contrataciones establecidas en el PAA, durante el trimestre se ejecutaron 17 contratos de los 31 programados. Adicionalmente el proceso realizo seguimiento de los procesos pendientes por realizar en el mes de marzo mediante correo electrónico. Se recomienda continuar con el seguimiento que vienen adelantando, con el fin de que en el próximo trimestre se concreten los contratos que ya iniciaron etapa de preparación.
Entre las contrataciones pendientes se encuentran algunos como bienestar y capacitación de funcionarios, lavado de tanques, valoración de la política de archivo, papelería, compra de equipos de cómputo, software de gestión jurídica, renovación del nivel IPV6, adquisición de computadores y arreglos en la Casa del Deportista, entre otros.</v>
      </c>
      <c r="J4" s="167" t="str">
        <f>IF('[1]Plan de acción 2024'!AM29="","",'[1]Plan de acción 2024'!AM29)</f>
        <v>Tras revisar las evidencias del proceso, se ha observado que de los 9 contratos planificados, solo se concretaron 2, lo que indica un incumplimiento en el indicador respecto a lo planeado en el PAA. Sin embargo, es positivo notar que el proceso realizó 42 contratos de prestación de servicios como apoyo a la gestión. A pesar de este esfuerzo adicional, es importante mejorar el cumplimiento con los contratos originalmente planeados para asegurar una alineación con los objetivos del PAA. Se recomienda llevar  una revisión de los factores que impidieron la contratación, así como realizar una actualización al cronograma del Plan Anual de Adquisiones.</v>
      </c>
      <c r="K4" s="167" t="str">
        <f>IF('[1]Plan de acción 2024'!AO29="","",'[1]Plan de acción 2024'!AO29)</f>
        <v>El indicador cumple parcialmente con la meta establecida, alcanzando 12 de las 14 contrataciones programadas. De estas, 8 fueron ejecutadas con éxito, mientras que 4 están en seguimiento y programadas para ejecutarse en el siguiente trimestre (mantenimiento de extintores, póliza de seguros, papelería y mantenimiento correctivo y preventivo). No obstante, 2 contrataciones aún están pendientes de definir (levantamiento de infraestructura tecnológica y contrato de interdisciplinarios). Para garantizar el cumplimiento total del indicador, se recomienda continuar con el seguimiento a las contrataciones en proceso y agilizar la toma de decisiones respecto a las pendientes, asegurando que se ejecuten dentro de los plazos establecidos en el Plan Anual de Adquisiciones.</v>
      </c>
      <c r="L4" s="167" t="str">
        <f>IF('[1]Plan de acción 2024'!AQ29="","",'[1]Plan de acción 2024'!AQ29)</f>
        <v>El indicador cumple parcialmente, alcanzando 5 de las 6 contrataciones programadas para el cuarto trimestre. Además, se completaron las 4 contrataciones pendientes del trimestre anterior (contratos 24-0019, 24-0012, 24-0014, 24-0015 y 24-0019), evidenciando un adecuado seguimiento y ejecución. No obstante, queda pendiente la actualización de iSolution, aunque se reconoce que el proceso ha realizado el respectivo seguimiento. Para la próxima vigencia, se recomienda priorizar la gestión de esta actualización y continuar con el monitoreo riguroso de la ejecución contractual para garantizar el cumplimiento total del indicador.</v>
      </c>
    </row>
    <row r="5" spans="2:12" ht="140.25" customHeight="1" thickBot="1" x14ac:dyDescent="0.25">
      <c r="B5" s="182" t="str">
        <f>+'Plan de acción 2025'!H30</f>
        <v>Publicar a los entes de control del SIA observa la contratación mensual de la entidad</v>
      </c>
      <c r="C5" s="183">
        <f>IF('Plan de acción 2025'!W30="N/A",0,'Plan de acción 2025'!W30)</f>
        <v>0.25</v>
      </c>
      <c r="D5" s="183">
        <f>IF('Plan de acción 2025'!Z30="N/A",0,'Plan de acción 2025'!Z30)</f>
        <v>0</v>
      </c>
      <c r="E5" s="183">
        <f>IF('Plan de acción 2025'!AC30="N/A",0,'Plan de acción 2025'!AC30)</f>
        <v>0</v>
      </c>
      <c r="F5" s="183">
        <f>IF('Plan de acción 2025'!AF30="N/A",0,'Plan de acción 2025'!AF30)</f>
        <v>0</v>
      </c>
      <c r="G5" s="183">
        <f>SUMIF(C5:F5,"&gt;0",C5:F5)</f>
        <v>0.25</v>
      </c>
      <c r="I5" s="167" t="str">
        <f>+'Plan de acción 2025'!AL30</f>
        <v>El proceso cumple con la rendición de cuentas en la plataforma SIA Contraloría, realizándola dentro del plazo establecido, es decir, antes del tercer día hábil de cada mes. Durante el trimestre se reportaron 70 contratos.
No obstante, se recomienda al proceso revisar y actualizar la base de datos de contratación, ya que se evidencian inconsistencias en algunas fechas frente a las actas de inicio. Así mismo, es importante mantener actualizada la RED de contratación con la documentación completa de cada contratista. Se identificó la falta de actas de inicio en los contratos 0002, 011, 012, 024, 036, 037, 040, 043, 050, 058 y 061, lo cual debe ser subsanado para garantizar trazabilidad y cumplimiento normativo.</v>
      </c>
      <c r="J5" s="167" t="str">
        <f>IF('[1]Plan de acción 2024'!AM30="","",'[1]Plan de acción 2024'!AM30)</f>
        <v xml:space="preserve">De acuerdo con la revisión de las evidencias aportadas por el proceso, se evidencia que, en este trimestre, el proceso cumple con un 66.7% de ejecución del indicador. Esto se debe a que la cuenta rendida en el mes de mayo registró un retraso de 3 días. Se recomienda al proceso establecer alertas automáticas que permitan cumplir con los tiempos establecidos, ya que este tipo de retrasos podría ocasionar sanciones significativas para la entidad, afectando su desempeño y reputación. </v>
      </c>
      <c r="K5" s="167" t="str">
        <f>IF('[1]Plan de acción 2024'!AO30="","",'[1]Plan de acción 2024'!AO30)</f>
        <v>El indicador se cumplió satisfactoriamente en el tercer trimestre, con la presentación oportuna de los tres reportes mensuales en la plataforma SIA Observa, dentro del plazo establecido de los primeros tres días de cada mes. Para fortalecer el proceso en la próxima vigencia, se recomienda implementar un sistema de alertas automáticas que recuerde las fechas límite, optimizar la carga de información mediante una verificación previa de los datos registrados y realizar un seguimiento continuo para asegurar la calidad y oportunidad de los reportes.</v>
      </c>
      <c r="L5" s="167" t="str">
        <f>IF('[1]Plan de acción 2024'!AQ30="","",'[1]Plan de acción 2024'!AQ30)</f>
        <v>El indicador cumple con la meta establecida, reflejando un adecuado desempeño en la rendición oportuna de los contratos. Se recomienda mantener este cumplimiento y continuar con la documentación adecuada de las evidencias para garantizar la trazabilidad del proceso.
Para la próxima vigencia, se sugiere automatizar alertas internas que notifiquen con anticipación los plazos de reporte, lo que permitirá una gestión más eficiente y oportuna. Adicionalmente, se recomienda realizar una verificación previa de los documentos antes de su carga en la plataforma, con el fin de evitar correcciones innecesarias y agilizar el proceso de rendición.</v>
      </c>
    </row>
    <row r="6" spans="2:12" ht="120" customHeight="1" thickBot="1" x14ac:dyDescent="0.25">
      <c r="B6" s="182" t="str">
        <f>+'Plan de acción 2025'!H31</f>
        <v xml:space="preserve">Verificar el comportamiento  de los proveedores </v>
      </c>
      <c r="C6" s="183">
        <f>IF('Plan de acción 2025'!W31="N/A",0,'Plan de acción 2025'!W31)</f>
        <v>0.25</v>
      </c>
      <c r="D6" s="183">
        <f>IF('Plan de acción 2025'!Z31="N/A",0,'Plan de acción 2025'!Z31)</f>
        <v>0</v>
      </c>
      <c r="E6" s="183">
        <f>IF('Plan de acción 2025'!AC31="N/A",0,'Plan de acción 2025'!AC31)</f>
        <v>0</v>
      </c>
      <c r="F6" s="183">
        <f>IF('Plan de acción 2025'!AF31="N/A",0,'Plan de acción 2025'!AF31)</f>
        <v>0</v>
      </c>
      <c r="G6" s="183">
        <f>SUMIF(C6:F6,"&gt;0",C6:F6)</f>
        <v>0.25</v>
      </c>
      <c r="I6" s="170" t="str">
        <f>+'Plan de acción 2025'!AL31</f>
        <v>Se evidencia que el proceso cumple satisfactoriamente con el indicador establecido. Durante el trimestre se registraron 6 cierres de contrato, de los cuales 3 corresponden a la vigencia 2024 y 3 a la vigencia 2025. La evaluación del comportamiento de los proveedores es positiva, con calificaciones que oscilaron entre 4 y 5.
Se recomienda al proceso continuar con la actualización oportuna de la base de datos y la RED de contratación, garantizando la trazabilidad y el adecuado seguimiento de cada contratación.</v>
      </c>
      <c r="J6" s="170" t="str">
        <f>IF('[1]Plan de acción 2024'!AM31="","",'[1]Plan de acción 2024'!AM31)</f>
        <v>De acuerdo con las evidencias aportadas, se identifica que se han terminado tres contratos: 24-006, 24-015 y 24-0007. Dos de ellos cuentan con una calificación satisfactoria de proveedores, lo cual resulta en un cumplimiento del 66.7% del indicador. Sin embargo, no se evidencia calificación para el contrato 24-0007, por lo que se recomienda establecer alertas o recordatorios automáticos en el sistema para que los responsables completen las calificaciones antes de que finalice el periodo establecido, así como designar un responsable que supervise periódicamente el estado de los contratos.</v>
      </c>
      <c r="K6" s="170" t="str">
        <f>IF('[1]Plan de acción 2024'!AO31="","",'[1]Plan de acción 2024'!AO31)</f>
        <v>El indicador cumple con la meta establecida, ya que se realizaron las reevaluaciones de los 14 contratos finalizados (del 039 al 051), obteniendo en su mayoría un promedio de calificación de 4. No obstante, el contrato 093 fue terminado anticipadamente y no aplicó para reevaluación. Se recomienda continuar con la evaluación rigurosa de los proveedores y establecer un mecanismo para documentar y analizar las terminaciones anticipadas, garantizando así una mejora continua en la gestión contractual.</v>
      </c>
      <c r="L6" s="170" t="str">
        <f>IF('[1]Plan de acción 2024'!AQ31="","",'[1]Plan de acción 2024'!AQ31)</f>
        <v>Durante el cuarto trimestre, se verificó en la red de la CSC que la mayoría de los contratos finalizaron en diciembre, contando con sus respectivas actas de terminación. Asimismo, la reevaluación de los contratos obtuvo calificaciones entre 4 y 5.
Se identificó que cinco contratos fueron reservados para la siguiente vigencia, asegurando su continuidad. El indicador cumple con lo establecido; sin embargo, se recomienda al proceso mantener actualizada la red de la entidad con toda la documentación contractual, garantizando la trazabilidad y transparencia en la gestión.</v>
      </c>
    </row>
    <row r="7" spans="2:12" ht="36" customHeight="1" thickBot="1" x14ac:dyDescent="0.25">
      <c r="B7" s="173" t="s">
        <v>573</v>
      </c>
      <c r="C7" s="157">
        <f>+AVERAGE(C4:C6)</f>
        <v>0.21236559139784947</v>
      </c>
      <c r="D7" s="157">
        <f>+AVERAGE(D4:D6)</f>
        <v>0</v>
      </c>
      <c r="E7" s="157">
        <f>+AVERAGE(E4:E6)</f>
        <v>0</v>
      </c>
      <c r="F7" s="157">
        <f>+AVERAGE(F4:F6)</f>
        <v>0</v>
      </c>
      <c r="G7" s="157">
        <f>+AVERAGE(G4:G6)</f>
        <v>0.21236559139784947</v>
      </c>
    </row>
  </sheetData>
  <mergeCells count="2">
    <mergeCell ref="B2:G2"/>
    <mergeCell ref="I2:L2"/>
  </mergeCells>
  <pageMargins left="0.7" right="0.7" top="0.75" bottom="0.7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722CC-D5AB-47BD-B32C-1D62ECFA478C}">
  <dimension ref="B1:L9"/>
  <sheetViews>
    <sheetView topLeftCell="A4" zoomScale="90" zoomScaleNormal="90" workbookViewId="0">
      <selection activeCell="B8" sqref="B8"/>
    </sheetView>
  </sheetViews>
  <sheetFormatPr baseColWidth="10" defaultColWidth="10.85546875" defaultRowHeight="14.25" x14ac:dyDescent="0.2"/>
  <cols>
    <col min="1" max="1" width="4.28515625" style="135" customWidth="1"/>
    <col min="2" max="2" width="38.42578125" style="135" customWidth="1"/>
    <col min="3" max="6" width="10.85546875" style="135"/>
    <col min="7" max="7" width="17" style="135" customWidth="1"/>
    <col min="8" max="8" width="6" style="135" customWidth="1"/>
    <col min="9" max="11" width="62.7109375" style="135" customWidth="1"/>
    <col min="12" max="12" width="58.85546875" style="135" customWidth="1"/>
    <col min="13" max="16384" width="10.85546875" style="135"/>
  </cols>
  <sheetData>
    <row r="1" spans="2:12" ht="15" thickBot="1" x14ac:dyDescent="0.25"/>
    <row r="2" spans="2:12" ht="15.75" thickBot="1" x14ac:dyDescent="0.3">
      <c r="B2" s="236" t="s">
        <v>584</v>
      </c>
      <c r="C2" s="236"/>
      <c r="D2" s="236"/>
      <c r="E2" s="236"/>
      <c r="F2" s="236"/>
      <c r="G2" s="236"/>
      <c r="I2" s="236" t="s">
        <v>563</v>
      </c>
      <c r="J2" s="236"/>
      <c r="K2" s="236"/>
      <c r="L2" s="236"/>
    </row>
    <row r="3" spans="2:12" ht="45.75" thickBot="1" x14ac:dyDescent="0.25">
      <c r="B3" s="159" t="s">
        <v>564</v>
      </c>
      <c r="C3" s="159" t="s">
        <v>565</v>
      </c>
      <c r="D3" s="159" t="s">
        <v>566</v>
      </c>
      <c r="E3" s="159" t="s">
        <v>567</v>
      </c>
      <c r="F3" s="159" t="s">
        <v>568</v>
      </c>
      <c r="G3" s="159" t="s">
        <v>581</v>
      </c>
      <c r="I3" s="160" t="s">
        <v>569</v>
      </c>
      <c r="J3" s="160" t="s">
        <v>570</v>
      </c>
      <c r="K3" s="160" t="s">
        <v>571</v>
      </c>
      <c r="L3" s="160" t="s">
        <v>572</v>
      </c>
    </row>
    <row r="4" spans="2:12" ht="110.25" customHeight="1" thickBot="1" x14ac:dyDescent="0.25">
      <c r="B4" s="184" t="str">
        <f>+'Plan de acción 2025'!H32</f>
        <v>Realizar mantenimiento preventivo a los equipos de cómputo, impresoras, scanner y equipo de la red de la entidad</v>
      </c>
      <c r="C4" s="185">
        <f>IF('Plan de acción 2025'!W32="N/A",0,'Plan de acción 2025'!W32)</f>
        <v>0.25</v>
      </c>
      <c r="D4" s="185">
        <f>IF('Plan de acción 2025'!Z32="N/A",0,'Plan de acción 2025'!Z32)</f>
        <v>0</v>
      </c>
      <c r="E4" s="185">
        <f>IF('Plan de acción 2025'!AC32="N/A",0,'Plan de acción 2025'!AC32)</f>
        <v>0</v>
      </c>
      <c r="F4" s="185">
        <f>IF('Plan de acción 2025'!AF32="N/A",0,'Plan de acción 2025'!AF32)</f>
        <v>0</v>
      </c>
      <c r="G4" s="186">
        <f>SUMIF(C4:F4,"&gt;0",C4:F4)</f>
        <v>0.25</v>
      </c>
      <c r="I4" s="167" t="str">
        <f>+'Plan de acción 2025'!AL32</f>
        <v>Al revisar el cronograma de mantenimiento, se evidencia que las actividades programadas inician en el mes de mayo. Aunque en el cronograma no se incluyó el mantenimiento de tres impresoras, el proceso sí realizó dicha actividad, cumpliendo con el indicador establecido.
Se recomienda fortalecer los registros fotográficos incluyendo información como: referencia del equipo, ubicación, fecha del mantenimiento y una breve descripción de las actividades realizadas, con el fin de mejorar la trazabilidad y documentación del proceso.</v>
      </c>
      <c r="J4" s="167"/>
      <c r="K4" s="167"/>
      <c r="L4" s="167"/>
    </row>
    <row r="5" spans="2:12" ht="110.25" customHeight="1" thickBot="1" x14ac:dyDescent="0.25">
      <c r="B5" s="184" t="str">
        <f>+'Plan de acción 2025'!H33</f>
        <v>Realizar mantenimiento correctivo cuando sea necesario  a los equipos de cómputo, impresoras, scanner y equipo de la red de la entidad, asi como soporte al usuario.</v>
      </c>
      <c r="C5" s="185">
        <f>IF('Plan de acción 2025'!W33="N/A",0,'Plan de acción 2025'!W33)</f>
        <v>0.25</v>
      </c>
      <c r="D5" s="185">
        <f>IF('Plan de acción 2025'!Z33="N/A",0,'Plan de acción 2025'!Z33)</f>
        <v>0</v>
      </c>
      <c r="E5" s="185">
        <f>IF('Plan de acción 2025'!AC33="N/A",0,'Plan de acción 2025'!AC33)</f>
        <v>0</v>
      </c>
      <c r="F5" s="185">
        <f>IF('Plan de acción 2025'!AF33="N/A",0,'Plan de acción 2025'!AF33)</f>
        <v>0</v>
      </c>
      <c r="G5" s="186">
        <f>SUMIF(C5:F5,"&gt;0",C5:F5)</f>
        <v>0.25</v>
      </c>
      <c r="I5" s="167" t="str">
        <f>+'Plan de acción 2025'!AL33</f>
        <v>El indicador cumple satisfactoriamente durante el trimestre, registrándose 64 requerimientos atendidos relacionados con ajustes y soporte técnico a los funcionarios. Se destaca que una parte significativa de estos requerimientos estuvo relacionada con el sistema Novasoft, lo cual refleja las necesidades recurrentes de acompañamiento en su uso.
Se sugiere al proceso identificar temas frecuentes en estos requerimientos, con el fin de implementar estrategias preventivas y de capacitación que mejoren la autonomía de los usuarios frente al sistema de Novasoft .</v>
      </c>
      <c r="J5" s="167"/>
      <c r="K5" s="167"/>
      <c r="L5" s="167"/>
    </row>
    <row r="6" spans="2:12" ht="103.5" customHeight="1" thickBot="1" x14ac:dyDescent="0.25">
      <c r="B6" s="184" t="str">
        <f>+'Plan de acción 2025'!H34</f>
        <v xml:space="preserve">Adquirir los equipos tecnológicos requeridos por la entidad. </v>
      </c>
      <c r="C6" s="185">
        <f>IF('Plan de acción 2025'!W34="N/A",0,'Plan de acción 2025'!W34)</f>
        <v>0.25</v>
      </c>
      <c r="D6" s="185">
        <f>IF('Plan de acción 2025'!Z34="N/A",0,'Plan de acción 2025'!Z34)</f>
        <v>0</v>
      </c>
      <c r="E6" s="185">
        <f>IF('Plan de acción 2025'!AC34="N/A",0,'Plan de acción 2025'!AC34)</f>
        <v>0</v>
      </c>
      <c r="F6" s="185">
        <f>IF('Plan de acción 2025'!AF34="N/A",0,'Plan de acción 2025'!AF34)</f>
        <v>0</v>
      </c>
      <c r="G6" s="186">
        <f>SUMIF(C6:F6,"&gt;0",C6:F6)</f>
        <v>0.25</v>
      </c>
      <c r="I6" s="167" t="str">
        <f>+'Plan de acción 2025'!AL34</f>
        <v>El proceso cumple con el indicador establecido para el alquiler de impresoras durante el trimestre. Se evidencia la orden de compra No. 141689, emitida el 12 de febrero, para el alquiler de 10 impresoras láser multifuncionales, incluyendo el servicio de instalación, configuración y soporte técnico en sitio.
Se recomienda al proceso realizar seguimiento al cumplimiento de los servicios contratados, especialmente en lo relacionado con el soporte técnico en sitio, y dejar registros de las atenciones prestadas para fortalecer la trazabilidad.</v>
      </c>
      <c r="J6" s="167"/>
      <c r="K6" s="167"/>
      <c r="L6" s="167"/>
    </row>
    <row r="7" spans="2:12" ht="97.5" customHeight="1" thickBot="1" x14ac:dyDescent="0.25">
      <c r="B7" s="184" t="str">
        <f>+'Plan de acción 2025'!H35</f>
        <v xml:space="preserve">Publicación y seguimiento del Plan de Tratamiento de Riesgos de Seguridad y Privacidad de la Información, Plan de Seguridad y Privacidad de la Información y PETIC. </v>
      </c>
      <c r="C7" s="185">
        <f>IF('Plan de acción 2025'!W35="N/A",0,'Plan de acción 2025'!W35)</f>
        <v>0</v>
      </c>
      <c r="D7" s="185">
        <f>IF('Plan de acción 2025'!Z35="N/A",0,'Plan de acción 2025'!Z35)</f>
        <v>0</v>
      </c>
      <c r="E7" s="185">
        <f>IF('Plan de acción 2025'!AC35="N/A",0,'Plan de acción 2025'!AC35)</f>
        <v>0</v>
      </c>
      <c r="F7" s="185">
        <f>IF('Plan de acción 2025'!AF35="N/A",0,'Plan de acción 2025'!AF35)</f>
        <v>0</v>
      </c>
      <c r="G7" s="186">
        <f>SUMIF(C7:F7,"&gt;0",C7:F7)</f>
        <v>0</v>
      </c>
      <c r="I7" s="167" t="str">
        <f>+'Plan de acción 2025'!AL35</f>
        <v>Si bien este indicador no tiene medición para el primer trimestre, ya que su seguimiento es de carácter semestral, se evidencia que los planes Institucionales de gestión de la información para la vigencia 2025 fueron publicados en la página web institucional, en cumplimiento de la normatividad vigente.
Se recomienda al proceso revisar periódicamente las actividades programadas, con el fin de evitar retrasos en la ejecución y asegurar el cumplimiento de los compromisos establecidos para el siguiente periodo..</v>
      </c>
      <c r="J7" s="167"/>
      <c r="K7" s="167"/>
      <c r="L7" s="167"/>
    </row>
    <row r="8" spans="2:12" ht="113.25" customHeight="1" thickBot="1" x14ac:dyDescent="0.25">
      <c r="B8" s="184" t="str">
        <f>+'Plan de acción 2025'!H36</f>
        <v>Actualización, publicación y seguimiento al Plan Institucional de Archivos de la Entidad  (PINAR).</v>
      </c>
      <c r="C8" s="185">
        <f>IF('Plan de acción 2025'!W36="N/A",0,'Plan de acción 2025'!W36)</f>
        <v>0.25</v>
      </c>
      <c r="D8" s="185">
        <f>IF('Plan de acción 2025'!Z36="N/A",0,'Plan de acción 2025'!Z36)</f>
        <v>0</v>
      </c>
      <c r="E8" s="185">
        <f>IF('Plan de acción 2025'!AC36="N/A",0,'Plan de acción 2025'!AC36)</f>
        <v>0</v>
      </c>
      <c r="F8" s="185">
        <f>IF('Plan de acción 2025'!AF36="N/A",0,'Plan de acción 2025'!AF36)</f>
        <v>0</v>
      </c>
      <c r="G8" s="186">
        <f>SUMIF(C8:F8,"&gt;0",C8:F8)</f>
        <v>0.25</v>
      </c>
      <c r="I8" s="170" t="str">
        <f>+'Plan de acción 2025'!AL36</f>
        <v>De acuerdo con las evidencias aportadas, se observa que el proceso ha venido cumpliendo con las actividades proyectadas en el PINAR, a pesar de los diferentes obstáculos presentados durante el trimestre.
Se recomienda al proceso definir las acciones concretas respecto al comité de archivo recientemente creado y dar atención a la recomendación emitida por el área de control interno. . Así mismo, continuar con el escaneo y diligenciamiento del FUID, avanzar en el cambio de cajas para la organización documental y mantener actualizados los registros del archivo.
Adicionalmente, se sugiere insistir en la solicitud de contratación de un profesional del área que pueda liderar la actualización de los instrumentos archivísticos requeridos, con el fin de evitar incumplimientos futuros relacionados con la actualización de la información y el cumplimiento normativo en los próximos trimestres. También se recomienda gestionar la vinculación de personal de apoyo que contribuya en las labores de escaneo y reorganización de cajas.</v>
      </c>
      <c r="J8" s="170"/>
      <c r="K8" s="170"/>
      <c r="L8" s="170"/>
    </row>
    <row r="9" spans="2:12" ht="38.25" customHeight="1" thickBot="1" x14ac:dyDescent="0.25">
      <c r="B9" s="173" t="s">
        <v>573</v>
      </c>
      <c r="C9" s="157">
        <f>+AVERAGE(C4:C8)</f>
        <v>0.2</v>
      </c>
      <c r="D9" s="157">
        <f>+AVERAGE(D4:D8)</f>
        <v>0</v>
      </c>
      <c r="E9" s="157">
        <f>+AVERAGE(E4:E8)</f>
        <v>0</v>
      </c>
      <c r="F9" s="157">
        <f>+AVERAGE(F4:F8)</f>
        <v>0</v>
      </c>
      <c r="G9" s="157">
        <f>+AVERAGE(G4:G8)</f>
        <v>0.2</v>
      </c>
    </row>
  </sheetData>
  <mergeCells count="2">
    <mergeCell ref="B2:G2"/>
    <mergeCell ref="I2:L2"/>
  </mergeCells>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35</TotalTime>
  <Application>Microsoft Excel</Application>
  <DocSecurity>0</DocSecurity>
  <ScaleCrop>false</ScaleCrop>
  <HeadingPairs>
    <vt:vector size="2" baseType="variant">
      <vt:variant>
        <vt:lpstr>Hojas de cálculo</vt:lpstr>
      </vt:variant>
      <vt:variant>
        <vt:i4>14</vt:i4>
      </vt:variant>
    </vt:vector>
  </HeadingPairs>
  <TitlesOfParts>
    <vt:vector size="14" baseType="lpstr">
      <vt:lpstr>Plan de acción 2025</vt:lpstr>
      <vt:lpstr>Cumplimiento 2025</vt:lpstr>
      <vt:lpstr>Direccionamiento Estrategico</vt:lpstr>
      <vt:lpstr>Atención al Cliente</vt:lpstr>
      <vt:lpstr>Bienestar</vt:lpstr>
      <vt:lpstr>Crédito</vt:lpstr>
      <vt:lpstr>Cartera</vt:lpstr>
      <vt:lpstr>Gestión Contractual</vt:lpstr>
      <vt:lpstr>Gestión de la Información</vt:lpstr>
      <vt:lpstr>Gestión de Recursos Físicos</vt:lpstr>
      <vt:lpstr>Gestión de Talento Humano</vt:lpstr>
      <vt:lpstr>Gestión Financiera</vt:lpstr>
      <vt:lpstr>Gestión Jurídica</vt:lpstr>
      <vt:lpstr>Gestion del Mejoramiento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Alejandra Vargas Rodriguez</dc:creator>
  <dc:description/>
  <cp:lastModifiedBy>Alejandra Vargas Rodriguez</cp:lastModifiedBy>
  <cp:revision>1</cp:revision>
  <cp:lastPrinted>2024-04-15T15:12:15Z</cp:lastPrinted>
  <dcterms:created xsi:type="dcterms:W3CDTF">2021-12-01T18:51:22Z</dcterms:created>
  <dcterms:modified xsi:type="dcterms:W3CDTF">2025-06-19T17:37:10Z</dcterms:modified>
  <dc:language>es-419</dc:language>
</cp:coreProperties>
</file>