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ainserver2\SGC\01_PROCESOS ESTRATEGICOS\DIRECCIONAMIENTO ESTRATÉGICO\05_PLANES\PLAN DE ACCION\2025\SEGUIMIENTOS\"/>
    </mc:Choice>
  </mc:AlternateContent>
  <xr:revisionPtr revIDLastSave="0" documentId="13_ncr:1_{76E407F7-CB78-4D07-8CA8-3E4DE8A21282}" xr6:coauthVersionLast="47" xr6:coauthVersionMax="47" xr10:uidLastSave="{00000000-0000-0000-0000-000000000000}"/>
  <bookViews>
    <workbookView xWindow="-120" yWindow="-120" windowWidth="29040" windowHeight="15840" tabRatio="500" xr2:uid="{00000000-000D-0000-FFFF-FFFF00000000}"/>
  </bookViews>
  <sheets>
    <sheet name="Plan de acción 2025" sheetId="1" r:id="rId1"/>
    <sheet name="Cumplimiento 2025" sheetId="2" r:id="rId2"/>
    <sheet name="Direccionamiento Estrategico" sheetId="3" r:id="rId3"/>
    <sheet name="Atención al Cliente" sheetId="4" r:id="rId4"/>
    <sheet name="Bienestar" sheetId="5" r:id="rId5"/>
    <sheet name="Crédito" sheetId="6" r:id="rId6"/>
    <sheet name="Cartera" sheetId="7" r:id="rId7"/>
    <sheet name="Gestión Contractual" sheetId="8" r:id="rId8"/>
    <sheet name="Gestión de la Información" sheetId="9" r:id="rId9"/>
    <sheet name="Gestión de Talento Humano" sheetId="11" r:id="rId10"/>
    <sheet name="Gestión de Recursos Físicos" sheetId="10" r:id="rId11"/>
    <sheet name="Gestión Financiera" sheetId="12" r:id="rId12"/>
    <sheet name="Gestión Jurídica" sheetId="13" r:id="rId13"/>
    <sheet name="Gestion del Mejoramiento" sheetId="14" r:id="rId14"/>
  </sheets>
  <calcPr calcId="191029"/>
</workbook>
</file>

<file path=xl/calcChain.xml><?xml version="1.0" encoding="utf-8"?>
<calcChain xmlns="http://schemas.openxmlformats.org/spreadsheetml/2006/main">
  <c r="K9" i="14" l="1"/>
  <c r="K8" i="14"/>
  <c r="K7" i="14"/>
  <c r="K6" i="14"/>
  <c r="K5" i="14"/>
  <c r="K4" i="14"/>
  <c r="L9" i="14"/>
  <c r="L8" i="14"/>
  <c r="L7" i="14"/>
  <c r="L6" i="14"/>
  <c r="L5" i="14"/>
  <c r="L4" i="14"/>
  <c r="K6" i="13"/>
  <c r="K5" i="13"/>
  <c r="K4" i="13"/>
  <c r="L6" i="13"/>
  <c r="L5" i="13"/>
  <c r="L4" i="13"/>
  <c r="K9" i="12"/>
  <c r="K8" i="12"/>
  <c r="K7" i="12"/>
  <c r="K6" i="12"/>
  <c r="K5" i="12"/>
  <c r="K4" i="12"/>
  <c r="K10" i="12"/>
  <c r="L10" i="12"/>
  <c r="L9" i="12"/>
  <c r="L8" i="12"/>
  <c r="L7" i="12"/>
  <c r="L6" i="12"/>
  <c r="L5" i="12"/>
  <c r="L4" i="12"/>
  <c r="K9" i="10"/>
  <c r="K8" i="10"/>
  <c r="K7" i="10"/>
  <c r="K6" i="10"/>
  <c r="K5" i="10"/>
  <c r="K4" i="10"/>
  <c r="L9" i="10"/>
  <c r="L8" i="10"/>
  <c r="L7" i="10"/>
  <c r="L6" i="10"/>
  <c r="L5" i="10"/>
  <c r="L4" i="10"/>
  <c r="L9" i="11"/>
  <c r="K11" i="11"/>
  <c r="K10" i="11"/>
  <c r="K9" i="11"/>
  <c r="K8" i="11"/>
  <c r="K7" i="11"/>
  <c r="K6" i="11"/>
  <c r="K5" i="11"/>
  <c r="K4" i="11"/>
  <c r="L5" i="11"/>
  <c r="L4" i="11"/>
  <c r="L11" i="11"/>
  <c r="L10" i="11"/>
  <c r="L8" i="11"/>
  <c r="L7" i="11"/>
  <c r="L6" i="11"/>
  <c r="K8" i="9"/>
  <c r="K7" i="9"/>
  <c r="K6" i="9"/>
  <c r="K5" i="9"/>
  <c r="K4" i="9"/>
  <c r="L8" i="9"/>
  <c r="L7" i="9"/>
  <c r="L6" i="9"/>
  <c r="L5" i="9"/>
  <c r="L4" i="9"/>
  <c r="K6" i="8"/>
  <c r="K5" i="8"/>
  <c r="K4" i="8"/>
  <c r="L6" i="8"/>
  <c r="L5" i="8"/>
  <c r="L4" i="8"/>
  <c r="K7" i="7"/>
  <c r="K6" i="7"/>
  <c r="K5" i="7"/>
  <c r="K4" i="7"/>
  <c r="L7" i="7"/>
  <c r="L6" i="7"/>
  <c r="L5" i="7"/>
  <c r="L4" i="7"/>
  <c r="K6" i="6" l="1"/>
  <c r="K5" i="6"/>
  <c r="K4" i="6"/>
  <c r="L6" i="6"/>
  <c r="L5" i="6"/>
  <c r="L4" i="6"/>
  <c r="C9" i="10"/>
  <c r="D9" i="10"/>
  <c r="C7" i="10"/>
  <c r="F6" i="5"/>
  <c r="C5" i="5"/>
  <c r="C6" i="5"/>
  <c r="AH19" i="1"/>
  <c r="AH15" i="1"/>
  <c r="AG68" i="1"/>
  <c r="AF60" i="1"/>
  <c r="Z60" i="1"/>
  <c r="K6" i="5" l="1"/>
  <c r="K5" i="5"/>
  <c r="K4" i="5"/>
  <c r="L6" i="5"/>
  <c r="L5" i="5"/>
  <c r="L4" i="5"/>
  <c r="K7" i="4"/>
  <c r="K6" i="4"/>
  <c r="K5" i="4"/>
  <c r="K4" i="4"/>
  <c r="L7" i="4"/>
  <c r="L6" i="4"/>
  <c r="L5" i="4"/>
  <c r="L4" i="4"/>
  <c r="K7" i="3"/>
  <c r="K6" i="3"/>
  <c r="K5" i="3"/>
  <c r="L7" i="3"/>
  <c r="L6" i="3"/>
  <c r="L5" i="3"/>
  <c r="K4" i="3"/>
  <c r="L4" i="3"/>
  <c r="AF62" i="1"/>
  <c r="AG62" i="1" s="1"/>
  <c r="AD26" i="1" l="1"/>
  <c r="AF20" i="1" l="1"/>
  <c r="AF19" i="1"/>
  <c r="W19" i="1"/>
  <c r="AF18" i="1"/>
  <c r="AC18" i="1"/>
  <c r="Z18" i="1"/>
  <c r="W18" i="1"/>
  <c r="AD16" i="1" l="1"/>
  <c r="AD15" i="1"/>
  <c r="AC26" i="1" l="1"/>
  <c r="AA26" i="1" l="1"/>
  <c r="X26" i="1"/>
  <c r="AC19" i="1"/>
  <c r="AF12" i="1"/>
  <c r="AC12" i="1"/>
  <c r="AA16" i="1" l="1"/>
  <c r="AA15" i="1"/>
  <c r="AA56" i="1" l="1"/>
  <c r="AA55" i="1"/>
  <c r="W48" i="1"/>
  <c r="AC35" i="1" l="1"/>
  <c r="AC27" i="1"/>
  <c r="AC20" i="1" l="1"/>
  <c r="Z20" i="1"/>
  <c r="J9" i="14" l="1"/>
  <c r="J8" i="14"/>
  <c r="J7" i="14"/>
  <c r="J6" i="14"/>
  <c r="J5" i="14"/>
  <c r="J4" i="14"/>
  <c r="J6" i="13"/>
  <c r="J5" i="13"/>
  <c r="J4" i="13"/>
  <c r="J10" i="12"/>
  <c r="J9" i="12"/>
  <c r="J8" i="12"/>
  <c r="J7" i="12"/>
  <c r="J6" i="12"/>
  <c r="J5" i="12"/>
  <c r="J4" i="12"/>
  <c r="J11" i="11"/>
  <c r="J10" i="11"/>
  <c r="J9" i="11"/>
  <c r="J8" i="11"/>
  <c r="J7" i="11"/>
  <c r="J6" i="11"/>
  <c r="J5" i="11"/>
  <c r="J4" i="11"/>
  <c r="J9" i="10"/>
  <c r="J8" i="10"/>
  <c r="J7" i="10"/>
  <c r="J6" i="10"/>
  <c r="J5" i="10"/>
  <c r="J4" i="10"/>
  <c r="J8" i="9"/>
  <c r="J7" i="9"/>
  <c r="J6" i="9"/>
  <c r="J5" i="9"/>
  <c r="J4" i="9"/>
  <c r="J6" i="8"/>
  <c r="J5" i="8"/>
  <c r="J4" i="8"/>
  <c r="J7" i="7"/>
  <c r="J6" i="7"/>
  <c r="J5" i="7"/>
  <c r="J4" i="7"/>
  <c r="J6" i="6"/>
  <c r="J5" i="6"/>
  <c r="J4" i="6"/>
  <c r="J6" i="5"/>
  <c r="J5" i="5"/>
  <c r="J4" i="5"/>
  <c r="J7" i="3"/>
  <c r="J6" i="3"/>
  <c r="J5" i="3"/>
  <c r="J4" i="3"/>
  <c r="J7" i="4"/>
  <c r="J6" i="4"/>
  <c r="J5" i="4"/>
  <c r="J4" i="4"/>
  <c r="I9" i="14"/>
  <c r="I8" i="14"/>
  <c r="I7" i="14"/>
  <c r="I6" i="14"/>
  <c r="I5" i="14"/>
  <c r="I4" i="14"/>
  <c r="I6" i="13"/>
  <c r="I5" i="13"/>
  <c r="I4" i="13"/>
  <c r="I10" i="12"/>
  <c r="I9" i="12"/>
  <c r="I8" i="12"/>
  <c r="I7" i="12"/>
  <c r="I6" i="12"/>
  <c r="I5" i="12"/>
  <c r="I4" i="12"/>
  <c r="I11" i="11"/>
  <c r="I10" i="11"/>
  <c r="I9" i="11"/>
  <c r="I8" i="11"/>
  <c r="I7" i="11"/>
  <c r="I6" i="11"/>
  <c r="I5" i="11"/>
  <c r="I4" i="11"/>
  <c r="I9" i="10"/>
  <c r="I8" i="10"/>
  <c r="I7" i="10"/>
  <c r="I6" i="10"/>
  <c r="I8" i="9"/>
  <c r="I7" i="9"/>
  <c r="I6" i="9"/>
  <c r="I5" i="9"/>
  <c r="I4" i="9"/>
  <c r="I6" i="8"/>
  <c r="I5" i="8"/>
  <c r="I4" i="8"/>
  <c r="I7" i="7"/>
  <c r="I6" i="7"/>
  <c r="I5" i="7"/>
  <c r="I4" i="7"/>
  <c r="I6" i="6"/>
  <c r="I5" i="6"/>
  <c r="I4" i="6"/>
  <c r="I6" i="5"/>
  <c r="I5" i="5"/>
  <c r="I4" i="5"/>
  <c r="I7" i="4"/>
  <c r="I6" i="4"/>
  <c r="I5" i="4"/>
  <c r="I4" i="4"/>
  <c r="I4" i="3"/>
  <c r="I5" i="3"/>
  <c r="I6" i="3"/>
  <c r="I7" i="3"/>
  <c r="I5" i="10"/>
  <c r="I4" i="10"/>
  <c r="X56" i="1"/>
  <c r="Y56" i="1"/>
  <c r="X55" i="1"/>
  <c r="Y55" i="1"/>
  <c r="Y52" i="1" l="1"/>
  <c r="X52" i="1"/>
  <c r="X51" i="1"/>
  <c r="Y51" i="1"/>
  <c r="Z26" i="1" l="1"/>
  <c r="Z19" i="1" l="1"/>
  <c r="X16" i="1" l="1"/>
  <c r="X15" i="1"/>
  <c r="F5" i="14"/>
  <c r="D5" i="14"/>
  <c r="B5" i="14"/>
  <c r="B6" i="14"/>
  <c r="B7" i="14"/>
  <c r="B8" i="14"/>
  <c r="B9" i="14"/>
  <c r="B4" i="14"/>
  <c r="E5" i="13"/>
  <c r="E6" i="13"/>
  <c r="C5" i="13"/>
  <c r="C6" i="13"/>
  <c r="B5" i="13"/>
  <c r="B6" i="13"/>
  <c r="B4" i="13"/>
  <c r="B5" i="12"/>
  <c r="B6" i="12"/>
  <c r="B7" i="12"/>
  <c r="B8" i="12"/>
  <c r="B9" i="12"/>
  <c r="B10" i="12"/>
  <c r="B4" i="12"/>
  <c r="F9" i="11"/>
  <c r="F11" i="11"/>
  <c r="E10" i="11"/>
  <c r="D9" i="11"/>
  <c r="D10" i="11"/>
  <c r="D11" i="11"/>
  <c r="C10" i="11"/>
  <c r="B5" i="11"/>
  <c r="B6" i="11"/>
  <c r="B7" i="11"/>
  <c r="B8" i="11"/>
  <c r="B9" i="11"/>
  <c r="B10" i="11"/>
  <c r="B11" i="11"/>
  <c r="B4" i="11"/>
  <c r="E5" i="10"/>
  <c r="E7" i="10"/>
  <c r="C5" i="10"/>
  <c r="B5" i="10"/>
  <c r="B6" i="10"/>
  <c r="B7" i="10"/>
  <c r="B8" i="10"/>
  <c r="B9" i="10"/>
  <c r="B4" i="10"/>
  <c r="E7" i="9" l="1"/>
  <c r="C7" i="9"/>
  <c r="B5" i="9"/>
  <c r="B6" i="9"/>
  <c r="B7" i="9"/>
  <c r="B8" i="9"/>
  <c r="B4" i="9"/>
  <c r="B5" i="8"/>
  <c r="B6" i="8"/>
  <c r="B4" i="8"/>
  <c r="B5" i="7"/>
  <c r="B6" i="7"/>
  <c r="B7" i="7"/>
  <c r="B4" i="7"/>
  <c r="B5" i="6"/>
  <c r="B6" i="6"/>
  <c r="B4" i="6"/>
  <c r="E6" i="5"/>
  <c r="B5" i="5"/>
  <c r="B6" i="5"/>
  <c r="B4" i="5"/>
  <c r="B5" i="3"/>
  <c r="B6" i="3"/>
  <c r="B7" i="3"/>
  <c r="B4" i="3"/>
  <c r="B5" i="4"/>
  <c r="B6" i="4"/>
  <c r="B7" i="4"/>
  <c r="B4" i="4"/>
  <c r="F4" i="3"/>
  <c r="E5" i="3"/>
  <c r="D4" i="3"/>
  <c r="C5" i="3"/>
  <c r="C4" i="3"/>
  <c r="C9" i="11" l="1"/>
  <c r="W45" i="1"/>
  <c r="C6" i="11" s="1"/>
  <c r="U16" i="1" l="1"/>
  <c r="U15" i="1"/>
  <c r="V56" i="1" l="1"/>
  <c r="U56" i="1"/>
  <c r="V55" i="1"/>
  <c r="U55" i="1"/>
  <c r="U52" i="1"/>
  <c r="V52" i="1"/>
  <c r="U51" i="1"/>
  <c r="V51" i="1"/>
  <c r="W43" i="1"/>
  <c r="C4" i="11" s="1"/>
  <c r="U28" i="1" l="1"/>
  <c r="U27" i="1" l="1"/>
  <c r="U26" i="1"/>
  <c r="W26" i="1" s="1"/>
  <c r="C5" i="7" s="1"/>
  <c r="W23" i="1" l="1"/>
  <c r="C5" i="6" s="1"/>
  <c r="AF59" i="1"/>
  <c r="F5" i="13" s="1"/>
  <c r="W37" i="1"/>
  <c r="C4" i="10" s="1"/>
  <c r="AF28" i="1"/>
  <c r="F7" i="7" s="1"/>
  <c r="AC28" i="1"/>
  <c r="E7" i="7" s="1"/>
  <c r="Z28" i="1"/>
  <c r="D7" i="7" s="1"/>
  <c r="W28" i="1"/>
  <c r="C7" i="7" s="1"/>
  <c r="AF27" i="1"/>
  <c r="F6" i="7" s="1"/>
  <c r="E6" i="7"/>
  <c r="Z27" i="1"/>
  <c r="D6" i="7" s="1"/>
  <c r="W27" i="1"/>
  <c r="C6" i="7" s="1"/>
  <c r="AF26" i="1"/>
  <c r="F5" i="7" s="1"/>
  <c r="E5" i="7"/>
  <c r="D5" i="7"/>
  <c r="AF25" i="1"/>
  <c r="F4" i="7" s="1"/>
  <c r="AC25" i="1"/>
  <c r="E4" i="7" s="1"/>
  <c r="Z25" i="1"/>
  <c r="D4" i="7" s="1"/>
  <c r="W25" i="1"/>
  <c r="C4" i="7" s="1"/>
  <c r="W24" i="1"/>
  <c r="C6" i="6" s="1"/>
  <c r="AF17" i="1"/>
  <c r="F6" i="4" s="1"/>
  <c r="AC17" i="1"/>
  <c r="E6" i="4" s="1"/>
  <c r="Z17" i="1"/>
  <c r="D6" i="4" s="1"/>
  <c r="W17" i="1"/>
  <c r="C6" i="4" s="1"/>
  <c r="AF29" i="1"/>
  <c r="F4" i="8" s="1"/>
  <c r="AC29" i="1"/>
  <c r="E4" i="8" s="1"/>
  <c r="Z29" i="1"/>
  <c r="D4" i="8" s="1"/>
  <c r="W29" i="1"/>
  <c r="C4" i="8" s="1"/>
  <c r="AF30" i="1"/>
  <c r="F5" i="8" s="1"/>
  <c r="AC30" i="1"/>
  <c r="E5" i="8" s="1"/>
  <c r="Z30" i="1"/>
  <c r="D5" i="8" s="1"/>
  <c r="W30" i="1"/>
  <c r="C5" i="8" s="1"/>
  <c r="AF40" i="1"/>
  <c r="F7" i="10" s="1"/>
  <c r="Z40" i="1"/>
  <c r="D7" i="10" s="1"/>
  <c r="AF38" i="1"/>
  <c r="F5" i="10" s="1"/>
  <c r="Z38" i="1"/>
  <c r="D5" i="10" s="1"/>
  <c r="AF37" i="1"/>
  <c r="F4" i="10" s="1"/>
  <c r="AC37" i="1"/>
  <c r="Z37" i="1"/>
  <c r="G5" i="7" l="1"/>
  <c r="E4" i="10"/>
  <c r="AG37" i="1"/>
  <c r="C8" i="7"/>
  <c r="G4" i="2" s="1"/>
  <c r="G14" i="2" s="1"/>
  <c r="E8" i="7"/>
  <c r="G6" i="2" s="1"/>
  <c r="G16" i="2" s="1"/>
  <c r="G6" i="7"/>
  <c r="G5" i="10"/>
  <c r="G5" i="8"/>
  <c r="G4" i="8"/>
  <c r="G6" i="4"/>
  <c r="F8" i="7"/>
  <c r="G7" i="2" s="1"/>
  <c r="G17" i="2" s="1"/>
  <c r="D4" i="10"/>
  <c r="G7" i="7"/>
  <c r="G7" i="10"/>
  <c r="G4" i="7"/>
  <c r="D8" i="7"/>
  <c r="G5" i="2" s="1"/>
  <c r="G15" i="2" s="1"/>
  <c r="AG30" i="1"/>
  <c r="AF51" i="1"/>
  <c r="F4" i="12" s="1"/>
  <c r="AC51" i="1"/>
  <c r="E4" i="12" s="1"/>
  <c r="Z51" i="1"/>
  <c r="D4" i="12" s="1"/>
  <c r="W51" i="1"/>
  <c r="C4" i="12" s="1"/>
  <c r="AF57" i="1"/>
  <c r="F10" i="12" s="1"/>
  <c r="AC57" i="1"/>
  <c r="E10" i="12" s="1"/>
  <c r="Z57" i="1"/>
  <c r="D10" i="12" s="1"/>
  <c r="W57" i="1"/>
  <c r="C10" i="12" s="1"/>
  <c r="AF56" i="1"/>
  <c r="F9" i="12" s="1"/>
  <c r="AC56" i="1"/>
  <c r="E9" i="12" s="1"/>
  <c r="Z56" i="1"/>
  <c r="D9" i="12" s="1"/>
  <c r="W56" i="1"/>
  <c r="C9" i="12" s="1"/>
  <c r="G4" i="10" l="1"/>
  <c r="G8" i="7"/>
  <c r="G8" i="2"/>
  <c r="G10" i="12"/>
  <c r="G4" i="12"/>
  <c r="G9" i="12"/>
  <c r="G18" i="2"/>
  <c r="AG56" i="1"/>
  <c r="AF36" i="1"/>
  <c r="F8" i="9" s="1"/>
  <c r="AC36" i="1"/>
  <c r="E8" i="9" s="1"/>
  <c r="Z36" i="1"/>
  <c r="D8" i="9" s="1"/>
  <c r="W36" i="1"/>
  <c r="C8" i="9" s="1"/>
  <c r="AF35" i="1"/>
  <c r="F7" i="9" s="1"/>
  <c r="Z35" i="1"/>
  <c r="AF34" i="1"/>
  <c r="F6" i="9" s="1"/>
  <c r="AC34" i="1"/>
  <c r="E6" i="9" s="1"/>
  <c r="Z34" i="1"/>
  <c r="D6" i="9" s="1"/>
  <c r="W34" i="1"/>
  <c r="C6" i="9" s="1"/>
  <c r="AF33" i="1"/>
  <c r="F5" i="9" s="1"/>
  <c r="AC33" i="1"/>
  <c r="E5" i="9" s="1"/>
  <c r="Z33" i="1"/>
  <c r="D5" i="9" s="1"/>
  <c r="W33" i="1"/>
  <c r="C5" i="9" s="1"/>
  <c r="AF32" i="1"/>
  <c r="F4" i="9" s="1"/>
  <c r="AC32" i="1"/>
  <c r="E4" i="9" s="1"/>
  <c r="Z32" i="1"/>
  <c r="D4" i="9" s="1"/>
  <c r="W32" i="1"/>
  <c r="C4" i="9" s="1"/>
  <c r="AC50" i="1"/>
  <c r="E11" i="11" s="1"/>
  <c r="W50" i="1"/>
  <c r="C11" i="11" s="1"/>
  <c r="AG35" i="1" l="1"/>
  <c r="F9" i="9"/>
  <c r="I7" i="2" s="1"/>
  <c r="I17" i="2" s="1"/>
  <c r="G11" i="11"/>
  <c r="E9" i="9"/>
  <c r="I6" i="2" s="1"/>
  <c r="I16" i="2" s="1"/>
  <c r="G8" i="9"/>
  <c r="C9" i="9"/>
  <c r="G4" i="9"/>
  <c r="G5" i="9"/>
  <c r="G6" i="9"/>
  <c r="D7" i="9"/>
  <c r="W46" i="1"/>
  <c r="C7" i="11" s="1"/>
  <c r="AF24" i="1"/>
  <c r="F6" i="6" s="1"/>
  <c r="AC24" i="1"/>
  <c r="E6" i="6" s="1"/>
  <c r="Z24" i="1"/>
  <c r="D6" i="6" s="1"/>
  <c r="AF23" i="1"/>
  <c r="F5" i="6" s="1"/>
  <c r="AC23" i="1"/>
  <c r="E5" i="6" s="1"/>
  <c r="Z23" i="1"/>
  <c r="D5" i="6" s="1"/>
  <c r="AF21" i="1"/>
  <c r="Z21" i="1"/>
  <c r="D6" i="5" s="1"/>
  <c r="G6" i="5" s="1"/>
  <c r="F5" i="5"/>
  <c r="E5" i="5"/>
  <c r="D5" i="5"/>
  <c r="W20" i="1"/>
  <c r="F4" i="5"/>
  <c r="E4" i="5"/>
  <c r="D4" i="5"/>
  <c r="C4" i="5"/>
  <c r="F7" i="4"/>
  <c r="E7" i="4"/>
  <c r="D7" i="4"/>
  <c r="C7" i="4"/>
  <c r="C8" i="5" l="1"/>
  <c r="C7" i="5"/>
  <c r="E4" i="2" s="1"/>
  <c r="G6" i="6"/>
  <c r="F7" i="5"/>
  <c r="E7" i="2" s="1"/>
  <c r="E17" i="2" s="1"/>
  <c r="D7" i="5"/>
  <c r="E5" i="2" s="1"/>
  <c r="E15" i="2" s="1"/>
  <c r="E7" i="5"/>
  <c r="E6" i="2" s="1"/>
  <c r="E16" i="2" s="1"/>
  <c r="G5" i="6"/>
  <c r="D9" i="9"/>
  <c r="G7" i="9"/>
  <c r="G9" i="9" s="1"/>
  <c r="I4" i="2"/>
  <c r="I14" i="2"/>
  <c r="G7" i="4"/>
  <c r="G4" i="5"/>
  <c r="G5" i="5"/>
  <c r="AC11" i="1"/>
  <c r="E4" i="3" s="1"/>
  <c r="E8" i="2" l="1"/>
  <c r="E14" i="2"/>
  <c r="E18" i="2" s="1"/>
  <c r="G7" i="5"/>
  <c r="G4" i="3"/>
  <c r="I15" i="2"/>
  <c r="I18" i="2" s="1"/>
  <c r="I5" i="2"/>
  <c r="I8" i="2" s="1"/>
  <c r="AG25" i="1"/>
  <c r="AG11" i="1" l="1"/>
  <c r="F6" i="13" l="1"/>
  <c r="D6" i="13"/>
  <c r="AF46" i="1"/>
  <c r="F7" i="11" s="1"/>
  <c r="AC46" i="1"/>
  <c r="E7" i="11" s="1"/>
  <c r="Z46" i="1"/>
  <c r="D7" i="11" s="1"/>
  <c r="AF66" i="1"/>
  <c r="F9" i="14" s="1"/>
  <c r="AC66" i="1"/>
  <c r="E9" i="14" s="1"/>
  <c r="Z66" i="1"/>
  <c r="D9" i="14" s="1"/>
  <c r="W66" i="1"/>
  <c r="C9" i="14" s="1"/>
  <c r="AF65" i="1"/>
  <c r="F8" i="14" s="1"/>
  <c r="AC65" i="1"/>
  <c r="E8" i="14" s="1"/>
  <c r="Z65" i="1"/>
  <c r="D8" i="14" s="1"/>
  <c r="W65" i="1"/>
  <c r="C8" i="14" s="1"/>
  <c r="AF64" i="1"/>
  <c r="F7" i="14" s="1"/>
  <c r="AC64" i="1"/>
  <c r="E7" i="14" s="1"/>
  <c r="Z64" i="1"/>
  <c r="D7" i="14" s="1"/>
  <c r="W64" i="1"/>
  <c r="C7" i="14" s="1"/>
  <c r="AF63" i="1"/>
  <c r="F6" i="14" s="1"/>
  <c r="AC63" i="1"/>
  <c r="E6" i="14" s="1"/>
  <c r="Z63" i="1"/>
  <c r="D6" i="14" s="1"/>
  <c r="W63" i="1"/>
  <c r="C6" i="14" s="1"/>
  <c r="AC62" i="1"/>
  <c r="E5" i="14" s="1"/>
  <c r="W62" i="1"/>
  <c r="AF61" i="1"/>
  <c r="F4" i="14" s="1"/>
  <c r="AC61" i="1"/>
  <c r="E4" i="14" s="1"/>
  <c r="Z61" i="1"/>
  <c r="D4" i="14" s="1"/>
  <c r="W61" i="1"/>
  <c r="C4" i="14" s="1"/>
  <c r="Z59" i="1"/>
  <c r="AF58" i="1"/>
  <c r="F4" i="13" s="1"/>
  <c r="AC58" i="1"/>
  <c r="E4" i="13" s="1"/>
  <c r="E7" i="13" s="1"/>
  <c r="M6" i="2" s="1"/>
  <c r="M16" i="2" s="1"/>
  <c r="Z58" i="1"/>
  <c r="D4" i="13" s="1"/>
  <c r="W58" i="1"/>
  <c r="C4" i="13" s="1"/>
  <c r="C7" i="13" s="1"/>
  <c r="AF55" i="1"/>
  <c r="F8" i="12" s="1"/>
  <c r="AC55" i="1"/>
  <c r="E8" i="12" s="1"/>
  <c r="Z55" i="1"/>
  <c r="D8" i="12" s="1"/>
  <c r="W55" i="1"/>
  <c r="C8" i="12" s="1"/>
  <c r="AF54" i="1"/>
  <c r="F7" i="12" s="1"/>
  <c r="AC54" i="1"/>
  <c r="E7" i="12" s="1"/>
  <c r="Z54" i="1"/>
  <c r="D7" i="12" s="1"/>
  <c r="W54" i="1"/>
  <c r="C7" i="12" s="1"/>
  <c r="AF53" i="1"/>
  <c r="F6" i="12" s="1"/>
  <c r="AC53" i="1"/>
  <c r="E6" i="12" s="1"/>
  <c r="Z53" i="1"/>
  <c r="D6" i="12" s="1"/>
  <c r="W53" i="1"/>
  <c r="C6" i="12" s="1"/>
  <c r="AF52" i="1"/>
  <c r="F5" i="12" s="1"/>
  <c r="AC52" i="1"/>
  <c r="E5" i="12" s="1"/>
  <c r="Z52" i="1"/>
  <c r="D5" i="12" s="1"/>
  <c r="W52" i="1"/>
  <c r="C5" i="12" s="1"/>
  <c r="AF49" i="1"/>
  <c r="F10" i="11" s="1"/>
  <c r="G10" i="11" s="1"/>
  <c r="AC48" i="1"/>
  <c r="AF47" i="1"/>
  <c r="F8" i="11" s="1"/>
  <c r="AC47" i="1"/>
  <c r="E8" i="11" s="1"/>
  <c r="Z47" i="1"/>
  <c r="D8" i="11" s="1"/>
  <c r="W47" i="1"/>
  <c r="C8" i="11" s="1"/>
  <c r="AF45" i="1"/>
  <c r="F6" i="11" s="1"/>
  <c r="AC45" i="1"/>
  <c r="E6" i="11" s="1"/>
  <c r="Z45" i="1"/>
  <c r="D6" i="11" s="1"/>
  <c r="AF44" i="1"/>
  <c r="F5" i="11" s="1"/>
  <c r="AC44" i="1"/>
  <c r="E5" i="11" s="1"/>
  <c r="Z44" i="1"/>
  <c r="D5" i="11" s="1"/>
  <c r="W44" i="1"/>
  <c r="C5" i="11" s="1"/>
  <c r="AF43" i="1"/>
  <c r="F4" i="11" s="1"/>
  <c r="AC43" i="1"/>
  <c r="E4" i="11" s="1"/>
  <c r="Z43" i="1"/>
  <c r="AF42" i="1"/>
  <c r="F9" i="10" s="1"/>
  <c r="AC42" i="1"/>
  <c r="E9" i="10" s="1"/>
  <c r="Z42" i="1"/>
  <c r="W42" i="1"/>
  <c r="AF41" i="1"/>
  <c r="F8" i="10" s="1"/>
  <c r="AC41" i="1"/>
  <c r="E8" i="10" s="1"/>
  <c r="Z41" i="1"/>
  <c r="D8" i="10" s="1"/>
  <c r="W41" i="1"/>
  <c r="C8" i="10" s="1"/>
  <c r="AF39" i="1"/>
  <c r="F6" i="10" s="1"/>
  <c r="AC39" i="1"/>
  <c r="E6" i="10" s="1"/>
  <c r="Z39" i="1"/>
  <c r="D6" i="10" s="1"/>
  <c r="W39" i="1"/>
  <c r="C6" i="10" s="1"/>
  <c r="AF31" i="1"/>
  <c r="F6" i="8" s="1"/>
  <c r="F7" i="8" s="1"/>
  <c r="AC31" i="1"/>
  <c r="E6" i="8" s="1"/>
  <c r="E7" i="8" s="1"/>
  <c r="Z31" i="1"/>
  <c r="D6" i="8" s="1"/>
  <c r="D7" i="8" s="1"/>
  <c r="W31" i="1"/>
  <c r="C6" i="8" s="1"/>
  <c r="AF22" i="1"/>
  <c r="F4" i="6" s="1"/>
  <c r="F7" i="6" s="1"/>
  <c r="F7" i="2" s="1"/>
  <c r="F17" i="2" s="1"/>
  <c r="AC22" i="1"/>
  <c r="E4" i="6" s="1"/>
  <c r="E7" i="6" s="1"/>
  <c r="F6" i="2" s="1"/>
  <c r="F16" i="2" s="1"/>
  <c r="Z22" i="1"/>
  <c r="D4" i="6" s="1"/>
  <c r="D7" i="6" s="1"/>
  <c r="F5" i="2" s="1"/>
  <c r="F15" i="2" s="1"/>
  <c r="W22" i="1"/>
  <c r="C4" i="6" s="1"/>
  <c r="AE16" i="1"/>
  <c r="AB16" i="1"/>
  <c r="Y16" i="1"/>
  <c r="Z16" i="1" s="1"/>
  <c r="D5" i="4" s="1"/>
  <c r="V16" i="1"/>
  <c r="W16" i="1" s="1"/>
  <c r="C5" i="4" s="1"/>
  <c r="AE15" i="1"/>
  <c r="AB15" i="1"/>
  <c r="AC15" i="1" s="1"/>
  <c r="E4" i="4" s="1"/>
  <c r="Y15" i="1"/>
  <c r="Z15" i="1" s="1"/>
  <c r="D4" i="4" s="1"/>
  <c r="V15" i="1"/>
  <c r="W15" i="1" s="1"/>
  <c r="C4" i="4" s="1"/>
  <c r="AF14" i="1"/>
  <c r="F7" i="3" s="1"/>
  <c r="AC14" i="1"/>
  <c r="E7" i="3" s="1"/>
  <c r="Z14" i="1"/>
  <c r="D7" i="3" s="1"/>
  <c r="W14" i="1"/>
  <c r="C7" i="3" s="1"/>
  <c r="AF13" i="1"/>
  <c r="F6" i="3" s="1"/>
  <c r="AC13" i="1"/>
  <c r="E6" i="3" s="1"/>
  <c r="Z13" i="1"/>
  <c r="D6" i="3" s="1"/>
  <c r="W13" i="1"/>
  <c r="C6" i="3" s="1"/>
  <c r="F5" i="3"/>
  <c r="Z12" i="1"/>
  <c r="AG12" i="1" s="1"/>
  <c r="F7" i="13" l="1"/>
  <c r="M7" i="2" s="1"/>
  <c r="M17" i="2" s="1"/>
  <c r="F11" i="12"/>
  <c r="L7" i="2" s="1"/>
  <c r="L17" i="2" s="1"/>
  <c r="F10" i="10"/>
  <c r="J7" i="2" s="1"/>
  <c r="J17" i="2" s="1"/>
  <c r="E11" i="12"/>
  <c r="L6" i="2" s="1"/>
  <c r="L16" i="2" s="1"/>
  <c r="E10" i="10"/>
  <c r="J6" i="2" s="1"/>
  <c r="J16" i="2" s="1"/>
  <c r="F10" i="14"/>
  <c r="N7" i="2" s="1"/>
  <c r="N17" i="2" s="1"/>
  <c r="E8" i="3"/>
  <c r="C6" i="2" s="1"/>
  <c r="C16" i="2" s="1"/>
  <c r="G7" i="3"/>
  <c r="E10" i="14"/>
  <c r="N6" i="2" s="1"/>
  <c r="N16" i="2" s="1"/>
  <c r="G6" i="10"/>
  <c r="G8" i="10"/>
  <c r="G7" i="12"/>
  <c r="G8" i="12"/>
  <c r="G6" i="12"/>
  <c r="D11" i="12"/>
  <c r="L5" i="2" s="1"/>
  <c r="L15" i="2" s="1"/>
  <c r="D10" i="10"/>
  <c r="J5" i="2" s="1"/>
  <c r="J15" i="2" s="1"/>
  <c r="F8" i="3"/>
  <c r="C7" i="2" s="1"/>
  <c r="C17" i="2" s="1"/>
  <c r="F12" i="11"/>
  <c r="K7" i="2" s="1"/>
  <c r="K17" i="2" s="1"/>
  <c r="G6" i="13"/>
  <c r="C8" i="3"/>
  <c r="C4" i="2" s="1"/>
  <c r="G6" i="3"/>
  <c r="H15" i="2"/>
  <c r="H5" i="2"/>
  <c r="G4" i="14"/>
  <c r="C5" i="14"/>
  <c r="G5" i="14" s="1"/>
  <c r="G9" i="14"/>
  <c r="C8" i="4"/>
  <c r="D4" i="2" s="1"/>
  <c r="G5" i="12"/>
  <c r="C11" i="12"/>
  <c r="L4" i="2" s="1"/>
  <c r="AG59" i="1"/>
  <c r="D5" i="13"/>
  <c r="G5" i="13" s="1"/>
  <c r="H16" i="2"/>
  <c r="H6" i="2"/>
  <c r="E9" i="11"/>
  <c r="G9" i="11" s="1"/>
  <c r="AG48" i="1"/>
  <c r="D10" i="14"/>
  <c r="N5" i="2" s="1"/>
  <c r="N15" i="2" s="1"/>
  <c r="C7" i="6"/>
  <c r="F4" i="2" s="1"/>
  <c r="G4" i="6"/>
  <c r="G7" i="6" s="1"/>
  <c r="G6" i="8"/>
  <c r="G7" i="8" s="1"/>
  <c r="C7" i="8"/>
  <c r="D4" i="11"/>
  <c r="AG43" i="1"/>
  <c r="D8" i="4"/>
  <c r="D5" i="2" s="1"/>
  <c r="D15" i="2" s="1"/>
  <c r="D5" i="3"/>
  <c r="AF15" i="1"/>
  <c r="AG15" i="1" s="1"/>
  <c r="H7" i="2"/>
  <c r="H17" i="2"/>
  <c r="G5" i="11"/>
  <c r="C12" i="11"/>
  <c r="K4" i="2" s="1"/>
  <c r="G6" i="11"/>
  <c r="G8" i="11"/>
  <c r="G6" i="14"/>
  <c r="G8" i="14"/>
  <c r="G7" i="11"/>
  <c r="M4" i="2"/>
  <c r="G4" i="13"/>
  <c r="G7" i="14"/>
  <c r="G9" i="10"/>
  <c r="C10" i="10"/>
  <c r="J4" i="2" s="1"/>
  <c r="AC16" i="1"/>
  <c r="E5" i="4" s="1"/>
  <c r="AF16" i="1"/>
  <c r="F5" i="4" s="1"/>
  <c r="AG38" i="1"/>
  <c r="AG60" i="1"/>
  <c r="AG49" i="1"/>
  <c r="AG54" i="1"/>
  <c r="AG40" i="1"/>
  <c r="AG19" i="1"/>
  <c r="AG14" i="1"/>
  <c r="AG23" i="1"/>
  <c r="AG27" i="1"/>
  <c r="AG33" i="1"/>
  <c r="AG39" i="1"/>
  <c r="AG41" i="1"/>
  <c r="AG45" i="1"/>
  <c r="AG55" i="1"/>
  <c r="AG63" i="1"/>
  <c r="AG13" i="1"/>
  <c r="AG17" i="1"/>
  <c r="AG21" i="1"/>
  <c r="AG24" i="1"/>
  <c r="AG28" i="1"/>
  <c r="AG31" i="1"/>
  <c r="AG34" i="1"/>
  <c r="AG42" i="1"/>
  <c r="AG46" i="1"/>
  <c r="AG52" i="1"/>
  <c r="AG57" i="1"/>
  <c r="AG64" i="1"/>
  <c r="AG18" i="1"/>
  <c r="AG20" i="1"/>
  <c r="AG22" i="1"/>
  <c r="AG29" i="1"/>
  <c r="AG32" i="1"/>
  <c r="AG47" i="1"/>
  <c r="AG50" i="1"/>
  <c r="AG53" i="1"/>
  <c r="AG58" i="1"/>
  <c r="AG65" i="1"/>
  <c r="AG26" i="1"/>
  <c r="AG36" i="1"/>
  <c r="AG44" i="1"/>
  <c r="AG51" i="1"/>
  <c r="AG61" i="1"/>
  <c r="AG66" i="1"/>
  <c r="F4" i="4" l="1"/>
  <c r="F8" i="4" s="1"/>
  <c r="D7" i="2" s="1"/>
  <c r="D17" i="2" s="1"/>
  <c r="G10" i="10"/>
  <c r="AH11" i="1"/>
  <c r="G11" i="12"/>
  <c r="AH25" i="1"/>
  <c r="G5" i="4"/>
  <c r="E12" i="11"/>
  <c r="K6" i="2" s="1"/>
  <c r="K16" i="2" s="1"/>
  <c r="AH22" i="1"/>
  <c r="G7" i="13"/>
  <c r="C10" i="14"/>
  <c r="N4" i="2" s="1"/>
  <c r="N8" i="2" s="1"/>
  <c r="E8" i="4"/>
  <c r="D6" i="2" s="1"/>
  <c r="D16" i="2" s="1"/>
  <c r="D14" i="2"/>
  <c r="H4" i="2"/>
  <c r="H8" i="2" s="1"/>
  <c r="H14" i="2"/>
  <c r="H18" i="2" s="1"/>
  <c r="G10" i="14"/>
  <c r="K14" i="2"/>
  <c r="G5" i="3"/>
  <c r="G8" i="3" s="1"/>
  <c r="D8" i="3"/>
  <c r="C5" i="2" s="1"/>
  <c r="C15" i="2" s="1"/>
  <c r="D12" i="11"/>
  <c r="K5" i="2" s="1"/>
  <c r="K15" i="2" s="1"/>
  <c r="G4" i="11"/>
  <c r="G12" i="11" s="1"/>
  <c r="F14" i="2"/>
  <c r="F18" i="2" s="1"/>
  <c r="F8" i="2"/>
  <c r="L14" i="2"/>
  <c r="L18" i="2" s="1"/>
  <c r="L8" i="2"/>
  <c r="D7" i="13"/>
  <c r="M5" i="2" s="1"/>
  <c r="M15" i="2" s="1"/>
  <c r="C14" i="2"/>
  <c r="M14" i="2"/>
  <c r="J8" i="2"/>
  <c r="J14" i="2"/>
  <c r="J18" i="2" s="1"/>
  <c r="AH51" i="1"/>
  <c r="AH43" i="1"/>
  <c r="AH32" i="1"/>
  <c r="AH37" i="1"/>
  <c r="AH61" i="1"/>
  <c r="AH29" i="1"/>
  <c r="AG16" i="1"/>
  <c r="AH58" i="1"/>
  <c r="G4" i="4" l="1"/>
  <c r="G8" i="4" s="1"/>
  <c r="D8" i="2"/>
  <c r="AH68" i="1"/>
  <c r="M18" i="2"/>
  <c r="N14" i="2"/>
  <c r="N18" i="2" s="1"/>
  <c r="C8" i="2"/>
  <c r="K18" i="2"/>
  <c r="D18" i="2"/>
  <c r="C18" i="2"/>
  <c r="K8" i="2"/>
  <c r="M8" i="2"/>
  <c r="O4" i="2" l="1"/>
</calcChain>
</file>

<file path=xl/sharedStrings.xml><?xml version="1.0" encoding="utf-8"?>
<sst xmlns="http://schemas.openxmlformats.org/spreadsheetml/2006/main" count="1677" uniqueCount="932">
  <si>
    <t>Proceso Estrategico
Direccionamiento Estrategico</t>
  </si>
  <si>
    <t>Plan de Acción</t>
  </si>
  <si>
    <t>Vigencia:</t>
  </si>
  <si>
    <t>PLAN DE DESARROLLO</t>
  </si>
  <si>
    <t>OBJETIVO ESTRATÉGICO INSTITUCIONAL</t>
  </si>
  <si>
    <t>Responsable:</t>
  </si>
  <si>
    <t>Equipo de Planeación</t>
  </si>
  <si>
    <t>GOBERNANDO: MÁS QUE UN PLAN!</t>
  </si>
  <si>
    <t>Establecer lineas de acción a corto, mediano y largo plazo que permitan cumplir con los compromisos y objetivos de la Entidad.</t>
  </si>
  <si>
    <t>INDICADORES</t>
  </si>
  <si>
    <t>FRECUENCIA</t>
  </si>
  <si>
    <t>MEDICIÓN 
TRIMESTRE I</t>
  </si>
  <si>
    <t>MEDICIÓN 
TRIMESTRE II</t>
  </si>
  <si>
    <t>MEDICIÓN 
TRIMESTRE III</t>
  </si>
  <si>
    <t>MEDICIÓN 
TRIMESTRE IV</t>
  </si>
  <si>
    <t>ITEM</t>
  </si>
  <si>
    <t>RELACIÓN CON LA POLÍTICA DE CALIDAD</t>
  </si>
  <si>
    <t>OBJETIVO DE CALIDAD</t>
  </si>
  <si>
    <t>PROCESO AL QUE PERTENENCE EN LA ENTIDAD</t>
  </si>
  <si>
    <t>RESPONSABLE</t>
  </si>
  <si>
    <t>DEPENDENCIA(S) ASOCIADA(S)</t>
  </si>
  <si>
    <t>ACTIVIDAD</t>
  </si>
  <si>
    <t>NOMBRE DEL INDICADOR</t>
  </si>
  <si>
    <t>PROPÓSITO DEL INDICADOR</t>
  </si>
  <si>
    <t>FÓRMULA</t>
  </si>
  <si>
    <t>UNIDAD DE MEDIDA</t>
  </si>
  <si>
    <t>TIPO DE INDICADOR</t>
  </si>
  <si>
    <t>LÍNEA BASE (PUNTO  DE PARTIDA)</t>
  </si>
  <si>
    <t>REFERENCIA PARA DEFINICIÓN DE LÍNEA BASE</t>
  </si>
  <si>
    <t>META 
(Qué se pretende lograr?)</t>
  </si>
  <si>
    <t>PONDERACIÓN DENTRO DEL PROCESO</t>
  </si>
  <si>
    <t>Cuándo se mide</t>
  </si>
  <si>
    <t>Cuándo inicia</t>
  </si>
  <si>
    <t>Cuándo finaliza</t>
  </si>
  <si>
    <t>EJECUTADO</t>
  </si>
  <si>
    <t>PROGRAMADO</t>
  </si>
  <si>
    <t>%CUMPLIMIENTO (1)</t>
  </si>
  <si>
    <t>%CUMPLIMIENTO (2)</t>
  </si>
  <si>
    <t>%CUMPLIMIENTO (3)</t>
  </si>
  <si>
    <t>%CUMPLIMIENTO (4)</t>
  </si>
  <si>
    <t>PORCENTAJE  DE CUMPLIMIENTO ACUMULADO (Total acumulado *100 / Meta).</t>
  </si>
  <si>
    <t>PORCENTAJE POR DEPENDENCIAS</t>
  </si>
  <si>
    <t>DIMENSIÓN DE MIPG</t>
  </si>
  <si>
    <t>POLITÍCA DE LA DIMENSIÓN</t>
  </si>
  <si>
    <t>Mejora el Sistema de Gestión de
Calidad y asegura su integración con el Modelo Integrado de Planeación y
Gestión.</t>
  </si>
  <si>
    <t>Generar acciones de mejora continua para optimizar los procesos</t>
  </si>
  <si>
    <t>ESTRATÉGICO
Direccionamiento Estratégico</t>
  </si>
  <si>
    <t>Asesor de Gerencia 
(Grupo de Planeación)</t>
  </si>
  <si>
    <t>Gerencia
Planeación</t>
  </si>
  <si>
    <t>Seguimiento y consolidación del Formulario Único de Reporte de Avances de la Gestión "FURAG" y evaluación del Modelo Integrado de Planeación y Gestión  "MIPG"</t>
  </si>
  <si>
    <t>Evaluar el nivel de avance en el Modelo Integrado de Planeación y Gestión de la CSC</t>
  </si>
  <si>
    <t>Porcentaje</t>
  </si>
  <si>
    <t>Eficacia</t>
  </si>
  <si>
    <t>Anual</t>
  </si>
  <si>
    <t>N/A</t>
  </si>
  <si>
    <t>Direccionamiento estratégico y Planeación</t>
  </si>
  <si>
    <t>Planeación institucional</t>
  </si>
  <si>
    <t>Cantidad</t>
  </si>
  <si>
    <t>trimestral</t>
  </si>
  <si>
    <t>Seguimiento y publicación del plan de acción de la Corporación Social de Cundinamarca</t>
  </si>
  <si>
    <t>Efectividad al seguimiento del plan de acción</t>
  </si>
  <si>
    <t>Realizar el seguimiento, evaluación y publicación del Plan de acción CSC</t>
  </si>
  <si>
    <t xml:space="preserve">Número de seguimientos, evaluación y publicación del Plan de acción / Número de trimestres en el año </t>
  </si>
  <si>
    <t>Efectividad</t>
  </si>
  <si>
    <t>Trimestral</t>
  </si>
  <si>
    <t>Seguimiento y actualización al Sistema Único de Información de trámites -SUIT</t>
  </si>
  <si>
    <t>Realizar el seguimiento y actualización al Sistema de trámites de CSC</t>
  </si>
  <si>
    <t>Seguimientos programados por la Función pública a los trámites de la CSC / los programados</t>
  </si>
  <si>
    <t>Aumentar la felicidad y satisfacción en la prestación del servicio a los
afiliados</t>
  </si>
  <si>
    <t>Incrementar la satisfacción y fidelización de nuestros afiliados</t>
  </si>
  <si>
    <t>MISIONAL
 Atención al Cliente</t>
  </si>
  <si>
    <t>Jefe Oficina de Prensa y Atención Cliente</t>
  </si>
  <si>
    <t>Oficina de Prensa y Atención al Cliente</t>
  </si>
  <si>
    <t xml:space="preserve">Atender las PQRSDF dentro de los términos legales. </t>
  </si>
  <si>
    <t>Estimar la capacidad de la CSC para atender las peticiones, quejas, reclamos, sugerencias, denuncias y felicitaciones dentro de los términos legales.</t>
  </si>
  <si>
    <t>(PQRSDF resueltas dentro del término / Total PQRSDF recibidas en el periodo) * 100</t>
  </si>
  <si>
    <t>Promedio de años anteriores</t>
  </si>
  <si>
    <t>Gestión con valores para resultados</t>
  </si>
  <si>
    <t>Servicio al cuidadano</t>
  </si>
  <si>
    <t>Jefe Oficina de Prensa y atención cliente</t>
  </si>
  <si>
    <t xml:space="preserve">Medir la satisfacción del cliente externo, mínimo del 70% de la población atendida </t>
  </si>
  <si>
    <t>Porcentaje de satifacción de los clientes</t>
  </si>
  <si>
    <t>Medir la satisfacción de los clientes mínimo del 70% de la población atendida respecto de los servicios y/o productos ofrecidos por la CSC</t>
  </si>
  <si>
    <t>Eficiencia</t>
  </si>
  <si>
    <t>Resultado del año inmediatamente anterior.</t>
  </si>
  <si>
    <t>Proporcional al trimestre</t>
  </si>
  <si>
    <t>Efectividad vinculaciones</t>
  </si>
  <si>
    <t>Evaluar la efectividad de la gestión de vinculaciones realizadas</t>
  </si>
  <si>
    <t>(Número de vinculaciones efectivas en el Periodo /Total de vinculaciones prograadas) * 100</t>
  </si>
  <si>
    <t>Estableciendo lineamientos y cumpliendo con los requisitos aplicables al otorgamiento de créditos y planes de bienestar social en el ámbito departamental</t>
  </si>
  <si>
    <t>Mejorar la calidad del servicio en oportunidad, seguridad, confiabilidad y asesoría adecuada</t>
  </si>
  <si>
    <t>MISIONAL
Bienestar</t>
  </si>
  <si>
    <t>Subgerente de Servicios Corporativos
Profesional Universitario  (Bienestar).</t>
  </si>
  <si>
    <t xml:space="preserve">*Subgerencia de Servicios Corporativos.
</t>
  </si>
  <si>
    <t>Beneficiar el 20% de los afiliados y beneficiarios con las actividades y servicios de bienestar que presta la Corporación.</t>
  </si>
  <si>
    <t>Medir el porcentaje de afiliados beneficiados con los servicios de bienestar que presta la Corporación</t>
  </si>
  <si>
    <t>Resultado del año anterior.</t>
  </si>
  <si>
    <t>*Subgerencia de Servicios Corporativos.</t>
  </si>
  <si>
    <t>Beneficiar a los afiliados con actividades   encaminadas a difundir y promocionar el portafolio de servicios de la entidad. Asesorando y tramitando tanto créditos como afiliaciones de manera virtual y presencial  en los diferentes municipios del Departamento.</t>
  </si>
  <si>
    <t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t>
  </si>
  <si>
    <t xml:space="preserve">Eficacia de subsidios educativos </t>
  </si>
  <si>
    <t>semestral</t>
  </si>
  <si>
    <t>MISIONAL
Crédito y Cartera</t>
  </si>
  <si>
    <t xml:space="preserve"> Subgerencia de Servicios Corporativos.</t>
  </si>
  <si>
    <t xml:space="preserve">Colocación de créditos. </t>
  </si>
  <si>
    <t>Avance en la colocación de créditos</t>
  </si>
  <si>
    <t>Garantizar el cumplimiento de la meta del Plan de desarrollo (Meta total del cuatrienio: 8000 créditos)</t>
  </si>
  <si>
    <t>Número de créditos desembolsados en el periodo  * 100 /
Número de créditos programados para desembolsar en el periodo</t>
  </si>
  <si>
    <t>Resultado de la meta propuesta en el plan de desarrollo</t>
  </si>
  <si>
    <t>Asegurar el cumplimiento de tiempos en los Créditos hipotecarios.</t>
  </si>
  <si>
    <t>Oportunidad en la gestión de otorgamiento créditos hipotecarios.</t>
  </si>
  <si>
    <t>Verificar el cumplimiento de los términos establecidos para el desembolso de créditos hipotecarios (una vez se encuentren radicados los documentos para iniciar el trámite).</t>
  </si>
  <si>
    <t>Asegurar el cumplimiento de tiempos en el Crédito de consumo.</t>
  </si>
  <si>
    <t>Oportunidad en la gestión de otorgamiento créditos no hipotecarios.</t>
  </si>
  <si>
    <t>Verificar el cumplimiento de los términos establecidos para el desembolso de créditos no hipotecarios (una vez se encuentren radicados los documentos para iniciar el trámite).</t>
  </si>
  <si>
    <t>* Subgerencia de Servicios Corporativos.
* Dirección de cartera y ahorros
* Oficina Asesora Jurídica</t>
  </si>
  <si>
    <t>Indice de cartera vencida</t>
  </si>
  <si>
    <t xml:space="preserve">Mantener el mayor porcentaje posible de saldo de cartera de la entidad en calificación A. </t>
  </si>
  <si>
    <t>Saldo de cartera vencida (diferente a A) *100 / Saldo total de cartera.
(excluir cuentas de orden)</t>
  </si>
  <si>
    <t xml:space="preserve">Efectividad </t>
  </si>
  <si>
    <t>Resultado año anterior</t>
  </si>
  <si>
    <t>* Subgerencia de Servicios Corporativos.
* Dirección de cartera y ahorros</t>
  </si>
  <si>
    <t>Disminuir el porcentaje de cartera en "estado persuasivo"</t>
  </si>
  <si>
    <t>Indice de cartera en estado persuasivo</t>
  </si>
  <si>
    <t>Mantener la cartera en el estado preventivo evitando que esta pase a estado persuasivo</t>
  </si>
  <si>
    <t>Disminuir el porcentaje de cartera en estado pre-jurídico</t>
  </si>
  <si>
    <t>Indice de cartera en estado pre-jurídico</t>
  </si>
  <si>
    <t>Mantener la cartera en el estado persuasivo evitando que esta pase a estado pre - jurídico</t>
  </si>
  <si>
    <t>Contando con colaboradores y proveedores idóneos</t>
  </si>
  <si>
    <t>Evaluar el desempeño de los proveedores externos para que cumplan con los requisitos</t>
  </si>
  <si>
    <t xml:space="preserve">APOYO
Gestión Contractual </t>
  </si>
  <si>
    <t>Jefe de la Oficina de Contratación</t>
  </si>
  <si>
    <t xml:space="preserve">* Oficina asesora de contratación. </t>
  </si>
  <si>
    <t>Realizar la  gestión contractual acorde con la programación establecida en el Plan Anual de Adquisiciones</t>
  </si>
  <si>
    <t>Direccionamineto estratégico</t>
  </si>
  <si>
    <t>Compras y contratación pública</t>
  </si>
  <si>
    <t>Cada mes se debe medir</t>
  </si>
  <si>
    <t xml:space="preserve">Verificar el comportamiento  de los proveedores </t>
  </si>
  <si>
    <t xml:space="preserve">Reevaluación a proveedores </t>
  </si>
  <si>
    <t>Hacer seguimiento a la evaluación y reevaluación de los proveedores.</t>
  </si>
  <si>
    <t>La Corporación Social de Cundinamarca mejora el Sistema de Gestión de Calidad y asegura su integración con los componentes del MECI</t>
  </si>
  <si>
    <t>APOYO
Gestión de la Información</t>
  </si>
  <si>
    <t>Subgerente Administrativa y financiera
Profesional Universitario de Gerencia</t>
  </si>
  <si>
    <t xml:space="preserve">*Subgerencia Administrativa y financiera 
*Gerencia
</t>
  </si>
  <si>
    <t>Realizar mantenimiento preventivo a los equipos de cómputo, impresoras, scanner y equipo de la red de la entidad</t>
  </si>
  <si>
    <t>Gestión de mantenimientos preventivos</t>
  </si>
  <si>
    <t>Evaluar el cumplimiento de los mantenimientos preventivos  de los equipos de cómputo, impresoras, scanner y equipo de la red de la entidad</t>
  </si>
  <si>
    <t xml:space="preserve">Trimestral </t>
  </si>
  <si>
    <t>1. Gestión con valores para resultados.       2. Información y comunicación</t>
  </si>
  <si>
    <t>1. Gobierno digítal y seguridad digítal.                 2. Transparencia y acceso a la información</t>
  </si>
  <si>
    <t>Realizar mantenimiento correctivo cuando sea necesario  a los equipos de cómputo, impresoras, scanner y equipo de la red de la entidad, asi como soporte al usuario.</t>
  </si>
  <si>
    <t>Gestión de mantenimientos correctivos y soporte a usuarios</t>
  </si>
  <si>
    <t xml:space="preserve">Generar mantenimientos correctivos a los equipos de computo, impresoras, scanner y equipos de Red de la entidad, así como brindar soporte técnico a los usuarios según la necesidad. </t>
  </si>
  <si>
    <t>*Subgerencia Administrativa y financiera 
*Gerencia</t>
  </si>
  <si>
    <t xml:space="preserve">Adquirir los equipos tecnológicos requeridos por la entidad. </t>
  </si>
  <si>
    <t>Gestión y adquisición de proyectos tecnológicos</t>
  </si>
  <si>
    <t>Gestionar el proceso de  compra y/o alquiler de equipos tecnológicos y/o infraestructura tecnológica.</t>
  </si>
  <si>
    <t>Cantidad de equipos e infraestructura tecnológica adquirida *100/ Cantidad de equipos  e infraestructura requerida</t>
  </si>
  <si>
    <t xml:space="preserve">*Subgerencia Administrativa y financiera 
</t>
  </si>
  <si>
    <t xml:space="preserve">Publicación y seguimiento del Plan de Tratamiento de Riesgos de Seguridad y Privacidad de la Información, Plan de Seguridad y Privacidad de la Información y PETIC. </t>
  </si>
  <si>
    <t>Seguimiento y Publicación de planes anuales de gestión de la información.</t>
  </si>
  <si>
    <t xml:space="preserve">Verificar el seguimiento y la publicación del Plan de Tratamiento de Riesgos de Seguridad y Privacidad de la Información, Plan de Seguridad y Privacidad de la Información y PETIC. </t>
  </si>
  <si>
    <t>Subgerente Administrativa y financiera
Auxiliar Administrativo</t>
  </si>
  <si>
    <t xml:space="preserve">*Subgerencia Administrativa y financiera 
</t>
  </si>
  <si>
    <t>Actualización, publicación y seguimiento al Plan Institucional de Archivos de la Entidad  (PINAR).</t>
  </si>
  <si>
    <t xml:space="preserve">Contando con colaboradores y proveedores idóneos </t>
  </si>
  <si>
    <t>Garantizar los recursos para la rentabilidad y sostenibilidad de la Entidad</t>
  </si>
  <si>
    <t>APOYO
Gestión de Recursos Fisicos</t>
  </si>
  <si>
    <t>Subgerente Administrativa y Financiera
Almacenista General</t>
  </si>
  <si>
    <t>Subgerencia Administrativa y Financiera
Almacén</t>
  </si>
  <si>
    <t>NA</t>
  </si>
  <si>
    <t>Cronograma de actividades</t>
  </si>
  <si>
    <t xml:space="preserve"> -</t>
  </si>
  <si>
    <t>Direccionamiento estratégico y gestión con valores para el resultado</t>
  </si>
  <si>
    <t>Planeación institucional, de fortalecimiento organizacional y simplificación del proceso.</t>
  </si>
  <si>
    <t>Subgerencia Administrativa y Financiera</t>
  </si>
  <si>
    <t>Informe semestral de seguimiento a la Inspección preoperativa del parque automotor de la Entidad</t>
  </si>
  <si>
    <t>Semestral</t>
  </si>
  <si>
    <t>Solicitudes de las Dependencias</t>
  </si>
  <si>
    <t xml:space="preserve">Subgerencia Administrativa y Financiera
Almacén </t>
  </si>
  <si>
    <t>Actualizar semestralmente los inventarios  individuales de los funcionarios de la Entidad, los cuales deben estar firmados por el funcionario responsable.</t>
  </si>
  <si>
    <t>Inventarios de bienes muebles  individuales</t>
  </si>
  <si>
    <t>Hacer seguimiento a la actualización de inventarios  individuales de los funcionarios de la entidad.</t>
  </si>
  <si>
    <t xml:space="preserve"> Inventario puestos de trabajo y elementos exportado del software de inventarios por cada funcionario. </t>
  </si>
  <si>
    <t>Reportes de Elementos  de consumo y devolutivos</t>
  </si>
  <si>
    <t xml:space="preserve">Verificar los elementos de consumo y devolutivos de acuerdo al reporte generado por Novasoft frente al físico. </t>
  </si>
  <si>
    <t xml:space="preserve">Reporte del software
Informe de consumos y devolutivos </t>
  </si>
  <si>
    <t>Potencializar el talento humano con el fin de fortalecer sus competencias</t>
  </si>
  <si>
    <t>APOYO
Gestión del Talento Humano</t>
  </si>
  <si>
    <t>Subgerente Administrativa y Financiera
Profesional Universitario TH</t>
  </si>
  <si>
    <t>*Subgerencia Administrativa y Financiera. 
Oficina de TH</t>
  </si>
  <si>
    <t xml:space="preserve">Elaborar, implementar y realizar seguimiento el Plan Institucional de Capacitación  (PIC) para los funcionarios de la CSC </t>
  </si>
  <si>
    <t>Ejecutar y hacer seguimiento a las capacitaciones previstas en el cronograma de actividades</t>
  </si>
  <si>
    <t>Plan institucional de capacitación</t>
  </si>
  <si>
    <t>Talento humano y gestión del conocimiento</t>
  </si>
  <si>
    <t>Talento humano e integridad y gestión del conocimiento y la innovación</t>
  </si>
  <si>
    <t>Elaborar y realizar el seguimiento al Plan de Bienestar e incentivos de la CSC ajustado a los lineamientos normativos, conceptuales y dimensiones estratégicas adoptadas como resultado del diagnóstico institucional.</t>
  </si>
  <si>
    <t xml:space="preserve">Ejecutar el total de las actividades señaladas en el plan de bienestar e incentivos de la CSC. </t>
  </si>
  <si>
    <t>Mi MIPG se articula y complementa con este sistema, además de los sistemas de servicio al ciudadano, gestión ambiental y de seguridad de la información entre otros.</t>
  </si>
  <si>
    <t>Subgerente Administrativa y Financiera
Profesional Universitario SGSST</t>
  </si>
  <si>
    <t>Ejecutar del Programa de Seguridad y Salud en el Trabajo en CSC de conformidad con las disposiciones normativas vigentes.</t>
  </si>
  <si>
    <t>Articular acciones con la ARL y COPASS de la Entidad para garantizar la ejecución del programa SGSST al interior de la entidad.</t>
  </si>
  <si>
    <t>Subgerente Administrativa y Financiera
Técnico operativo TH</t>
  </si>
  <si>
    <t>Seguimiento al cumplimiento del cronograma de liquidación de nómina de funcionarios</t>
  </si>
  <si>
    <t xml:space="preserve">Liquidación de Nómina </t>
  </si>
  <si>
    <t>Aplicación correcta y oportuna de novedades en liquidación de nómina</t>
  </si>
  <si>
    <t>Novedades presentadas dentro de los tiempos del cronograma / Total de novedades atendidas en el periodo</t>
  </si>
  <si>
    <t xml:space="preserve">Talento humano </t>
  </si>
  <si>
    <t>Talento humano e integridad</t>
  </si>
  <si>
    <t>Subgerente Administrativa y Financiera
Tecnico operativo TH</t>
  </si>
  <si>
    <t>*Subgerencia Administrativo y Financiero. 
Oficina de TH</t>
  </si>
  <si>
    <t>Realizar trámite de recobro de incapacidades ante las EPSs</t>
  </si>
  <si>
    <t>Hacer seguimiento al trámite de recobro de incapacidades ante las EPSs</t>
  </si>
  <si>
    <t xml:space="preserve">Número de incapacidades trámitadas ante EPS *100/ Número de incapacidades radicadas en oficina </t>
  </si>
  <si>
    <t>Subgerente Administrativa y Financiera
Profesional Especializado</t>
  </si>
  <si>
    <t>Realizar seguimiento al autodiagnóstico de Talento Humano fortaleciendo las rutas con menor calificación</t>
  </si>
  <si>
    <t>Fortalecer la ruta del autodiagnostico de talento humano con menor calificación</t>
  </si>
  <si>
    <t>Resultado de la calificación final del autodiagnóstico &gt; Resultado de la calificación del autodiagnostico del año anterior (79.5%)</t>
  </si>
  <si>
    <t>Calificación</t>
  </si>
  <si>
    <t>Suscripción de los acuerdos de gestión y seguimiento a su cumplimiento</t>
  </si>
  <si>
    <t>Seguimiento al cumplimiento de los acuerdos de gestión suscritos</t>
  </si>
  <si>
    <t>Asignando los recursos necesarios</t>
  </si>
  <si>
    <t>Apoyar a la entidad en la consolidación oportuna de la información Presupuestal y Contable.</t>
  </si>
  <si>
    <t>APOYO
Gestión Financiera</t>
  </si>
  <si>
    <t>*Subgerente Administrativo y Financiero. 
*Director Técnico de Contabilidad y Presupuesto</t>
  </si>
  <si>
    <t>Subgerencia Administrativa y Financiera
Dirección de Presupuesto y Contabilidad</t>
  </si>
  <si>
    <t xml:space="preserve">Generar información financiera a la alta gerencia necesaria para la Administración del Presupuesto de manera eficiente. </t>
  </si>
  <si>
    <t xml:space="preserve">Porcentaje de ejecución presupuesto de Ingresos </t>
  </si>
  <si>
    <t>Verificar el comportamiento del presupuesto en cuanto al recaudo con el fin de determinar  el porcentaje  en cada trimestre</t>
  </si>
  <si>
    <t>Gestión presupuestal - eficiencia del gasto público</t>
  </si>
  <si>
    <t>Porcentaje de ejecución presupuesto de Gastos</t>
  </si>
  <si>
    <t>Verificar el comportamiento del presupuesto en cuanto al gasto con el fin de determinar  el porcentaje  en cada trimestre</t>
  </si>
  <si>
    <t xml:space="preserve">Generar y reportar la Información financiera y presupuestal a los entes de control y de fiscalización de manera oportuna a través de las plataformas oficiales. </t>
  </si>
  <si>
    <t xml:space="preserve"> Elaboración de Informes Contables y Presupuestales rendidos a los entes de control con periodicidad  - trimestral /Semestral y anual</t>
  </si>
  <si>
    <t>Reportar número de Informes tanto contables como presupuestales trimestralmente</t>
  </si>
  <si>
    <t xml:space="preserve">No. de  informes presentados trimestralmente / No. de informes proyectados trimestralmente  * 100
</t>
  </si>
  <si>
    <t>Calendario Tributario</t>
  </si>
  <si>
    <t>Porcentual</t>
  </si>
  <si>
    <t>*Subgerente Administrativo y Financiero. 
*Tesorero General</t>
  </si>
  <si>
    <t>Subgerencia Administrativa y Financiera
Tesorería</t>
  </si>
  <si>
    <t xml:space="preserve">Registrar en el sistema los recaudos provenientes de las diferentes líneas de crédito con que cuenta la entidad, para garantizar el proceso de desgloce y conciliaciones </t>
  </si>
  <si>
    <t>Registro de ingresos mensual</t>
  </si>
  <si>
    <t xml:space="preserve">Suministrar información de recaudo para la toma de determinaciones administrativas y financieras. </t>
  </si>
  <si>
    <t>Valor recaudo mensual / presupuesto aprobado * 100</t>
  </si>
  <si>
    <t>PAC</t>
  </si>
  <si>
    <t xml:space="preserve">Registrar en el sistema los egresos correspondiente a las obligaciones contraidas por la entidad. </t>
  </si>
  <si>
    <t>Registro de egresos mensual</t>
  </si>
  <si>
    <t xml:space="preserve">Suministrar información de egresos para la toma de determinaciones administrativas y financieras. </t>
  </si>
  <si>
    <t>Valor egresos mensual / presupuesto aprobado * 100</t>
  </si>
  <si>
    <t>APOYO
Gestión Jurídica</t>
  </si>
  <si>
    <t>Jefe de la Oficina Jurídica</t>
  </si>
  <si>
    <t>Oficina Asesora Jurídica</t>
  </si>
  <si>
    <t>Es el número de  obligaciones con impulso procesal</t>
  </si>
  <si>
    <t>Defensa jurídica</t>
  </si>
  <si>
    <t>APOYO
Gestión Juridica</t>
  </si>
  <si>
    <t>Manual de la política del daño antijuridico y sus lineamientos</t>
  </si>
  <si>
    <t xml:space="preserve">Mensual </t>
  </si>
  <si>
    <t>La Corporación Social de Cundinamarca mejora el Sistema de Gestión de Calidad y asegura su integración con el Modelo Integrado de Planeación y
Gestión</t>
  </si>
  <si>
    <t>PROCESO DE EVALUACIÓN
Gestión del Mejoramiento</t>
  </si>
  <si>
    <t>Jefe de oficina de control interno</t>
  </si>
  <si>
    <t>Oficina de Control Interno</t>
  </si>
  <si>
    <t xml:space="preserve">Planear y ejecutar el Plan anual de auditorías interna Integral de acuerdo al cronograma </t>
  </si>
  <si>
    <t xml:space="preserve">Cumplir con la planeación propuesta en el Plan anual de auditorías interna Integral </t>
  </si>
  <si>
    <t>eficacia</t>
  </si>
  <si>
    <t>Auditorías realizadas en el año 2024</t>
  </si>
  <si>
    <t xml:space="preserve"> - </t>
  </si>
  <si>
    <t>Control interno</t>
  </si>
  <si>
    <t>Realizar los seguimientos a los planes de mejoramiento aprobados por la Contraloría Departamental</t>
  </si>
  <si>
    <t>Planes de Mejoramiento de la Corporación Social de Cundinamarca</t>
  </si>
  <si>
    <t>Realizar los seguimientos a los Planes de Mejoramiento dando cumplimiento a los términos de la Resolución 0278 de 2021 de la Contraloría Departamental</t>
  </si>
  <si>
    <t xml:space="preserve">Semestral </t>
  </si>
  <si>
    <t>Verificar el cumplimiento de la publicación y/o la presentación de los informes de ley  por parte de la OCI</t>
  </si>
  <si>
    <t>eficiencia</t>
  </si>
  <si>
    <t>Informes de ley publicados en la pagina web</t>
  </si>
  <si>
    <t>Publicación de los informes en la página web</t>
  </si>
  <si>
    <t xml:space="preserve">trimestral </t>
  </si>
  <si>
    <t>Seguimiento a los resultados de la Auditoría interna de la CSC</t>
  </si>
  <si>
    <t>Realizar  seguimiento a las acciones de mejora y correctivas de la entidad</t>
  </si>
  <si>
    <t>Resultados Auditoria año anterior</t>
  </si>
  <si>
    <t xml:space="preserve">Cumplir con la normatividad vigente  </t>
  </si>
  <si>
    <t>Realizar Campañas de Autocontrol que armonicen la 7ma dimensión de MIPG</t>
  </si>
  <si>
    <t xml:space="preserve">Sensibilizar a la CSC con Campañas de Autocontrol (mínimo 4). </t>
  </si>
  <si>
    <t>Hacer seguimientos a los procesos contractuales subidos en la plataforma SIA OBSERVA</t>
  </si>
  <si>
    <t xml:space="preserve">Números de contratos elaborados y ejecutados hasta la fecha </t>
  </si>
  <si>
    <t>Disminuir el porcentaje de cartera vencida en dos puntos(2), de acuerdo con el resultado del indicador a 31 diciembre del año inmediatamente anterior</t>
  </si>
  <si>
    <t>&lt; 29%</t>
  </si>
  <si>
    <t>(Saldo de cartera vencida en estado persuasivo/ Saldo total de cartera)*100.
(excluir cuentas de orden)</t>
  </si>
  <si>
    <t>&lt;3%</t>
  </si>
  <si>
    <t>(Saldo de cartera vencida en estado pre-jurídico/Saldo total de cartera)*100.
(excluir cuentas de orden)</t>
  </si>
  <si>
    <t>Plan de auditoría aprobado 2025</t>
  </si>
  <si>
    <t xml:space="preserve">(Número de Auditorías realizadas / Número de Auditorías programadas)*100 </t>
  </si>
  <si>
    <t>Porcentaje de cumplimiento del Plan Anual de Auditorías</t>
  </si>
  <si>
    <t>Anual (con seguimiento trimestral)</t>
  </si>
  <si>
    <t>(Número de avances al plan de mejoramiento realizados dentro del término  / Número de avances al Plan de mejoramiento remitidos dentro del término)* 100.</t>
  </si>
  <si>
    <t>Plan de mejoramiento entregado en 2023 y 2024</t>
  </si>
  <si>
    <t>Auditoría Integral de la Contraloría de Cundinamarca 2024</t>
  </si>
  <si>
    <t>Presentar los informes de ley por parte de la OCI,  cumpliendo con la normatividad aplicable Decreto 648 del 19 de abril  de 2017</t>
  </si>
  <si>
    <t>Cumplimiento en la publicación de informes de ley Oficina de Control Interno (OCI)</t>
  </si>
  <si>
    <t xml:space="preserve">(Informes publicados en la página web de la entidad / Total informes programados) * 100  </t>
  </si>
  <si>
    <t xml:space="preserve">Porcentaje de seguimiento a observaciones  y No conformidades de Auditorias Internas </t>
  </si>
  <si>
    <t xml:space="preserve">(Número de seguimientos realizados / Número total de no conformidades y observaciones) * 100 </t>
  </si>
  <si>
    <t xml:space="preserve">Ejecución de campañas de Autocontrol </t>
  </si>
  <si>
    <t>(Número de Campañas de Autocontrol realizadas/ Número de Campañas de Autocontrol programadas)*100</t>
  </si>
  <si>
    <t>el numero de campañas realizadas en el 2024</t>
  </si>
  <si>
    <t>Realizar seguimiento a la plataforma SIA Observa y publicación en la página web de la CSC</t>
  </si>
  <si>
    <t>Monitoreo y publicación de contratos en SIA OBSERVA y página web CSC</t>
  </si>
  <si>
    <t xml:space="preserve">(Número de seguimientos  los contratos reportados / Número total de contratos reportados) * 100 </t>
  </si>
  <si>
    <t>seguimientos año 2024</t>
  </si>
  <si>
    <t xml:space="preserve">Revisar los procesos judiciales en aras de obtener el recaudo  de los dineros prestados a los usuarios </t>
  </si>
  <si>
    <t xml:space="preserve">Supervisión de la gestión jurídica de las obligaciones  entregadas a la firma de Representación Judicial para el cobro jurídico </t>
  </si>
  <si>
    <t xml:space="preserve">Realizar  seguimientos mensuales a la implementación de la política del plan de prevención del daño antijuridico </t>
  </si>
  <si>
    <t xml:space="preserve">Seguimiento del daño antijurídico  en el Comité de Conciliación y Defensa Judicial </t>
  </si>
  <si>
    <t>&gt; 86</t>
  </si>
  <si>
    <t>Realizar seguimiento al cronograma de actividades de los 12 planes del Decreto 612 de 2018</t>
  </si>
  <si>
    <t>Realizar el seguimiento al avance de actividades propuestas en cada uno de los planes</t>
  </si>
  <si>
    <t>Año 2024</t>
  </si>
  <si>
    <t>Resultados FURAG 2024</t>
  </si>
  <si>
    <t>Porcentaje de cumplimiento en la evaluación FURAG respecto a la meta establecida</t>
  </si>
  <si>
    <t>(Puntaje obtenido en la evaluación del FURAG / Puntaje máximo posible) x 100.</t>
  </si>
  <si>
    <t>Porcentaje de seguimiento efectivo a los 12 planes del Decreto 612 de 2018</t>
  </si>
  <si>
    <t>Número de informes de seguimiento realizados y aprobados a los Planes del Decreto 612 de 2018 / Total de informes de seguimiento programados</t>
  </si>
  <si>
    <t>Porcentaje de actualización efectiva en el sistema de trámites (SUIT)</t>
  </si>
  <si>
    <t>Porcentaje de atención oportuna a PQRSDF</t>
  </si>
  <si>
    <t xml:space="preserve">(Número de respuestas "Muy satisfecho" + "Satisfecho / Total de encuestas aplicadas) x 100
</t>
  </si>
  <si>
    <t xml:space="preserve">(Número de actividades ejecutadas  / Número de actividades programadas)*100 </t>
  </si>
  <si>
    <t>Seguimiento al Plan de Comunicaciones y  Marketing de la CSC</t>
  </si>
  <si>
    <t>Cumplimiento del cronograma de actividades del Plan de Comunicaciones y Marketing</t>
  </si>
  <si>
    <t>Seguir y evaluar el cumplimiento del Plan de Comunicaciones y Marketing de la CSC</t>
  </si>
  <si>
    <t xml:space="preserve">Porcentaje de afiliados beneficiados con programas de bienestar. (capacitaciones, recreación, promoción) </t>
  </si>
  <si>
    <t>(Número de afiliados beneficiados/
Total de afiliados activos) *100</t>
  </si>
  <si>
    <t>Porcentaje de cobertura en la promoción del portafolio de servicios de la entidad en los municipios del Departamento</t>
  </si>
  <si>
    <t>Medir el  porcentaje de municipios Cundinamarqueses visitados para promoción del portafolio</t>
  </si>
  <si>
    <t xml:space="preserve"> ((Número de municipios visitados efectivamente / Número de municipios programados para el periodo) x 100)</t>
  </si>
  <si>
    <t>Medir el número de entregas de subsidios educativos a los afiliados que ya cuentan con el beneficio de este programa y cumplen requisitos</t>
  </si>
  <si>
    <t xml:space="preserve">(Número de subsidios educativos entregados /
Número de subsidios educativos activos)*100 </t>
  </si>
  <si>
    <t>(Créditos hipotecarios desembolsados  en máximo 60 días hábiles / Total créditos hipotecarios desembolsados) * 100 .</t>
  </si>
  <si>
    <t xml:space="preserve">(Créditos no hipotecarios desembolsados  en máximo 30 días  / Total créditos no hipotecarios desembolsados)* 100
</t>
  </si>
  <si>
    <t xml:space="preserve">Aplicar el total del valor recaudado de las diferentes pagadurías y recibos por ventanilla. </t>
  </si>
  <si>
    <t>Índice de Aplicación del Valor Recaudado por Pagadurías y ventanilla</t>
  </si>
  <si>
    <t>Garantizar el  valor aplicado total del valor recaudado de las diferentes pagadurías y ventanilla.</t>
  </si>
  <si>
    <t>(Valor aplicado en el periodo / Valor recaudado en el periodo pagadurias y ventanilla)*100</t>
  </si>
  <si>
    <t xml:space="preserve">
(No. de actividades ejecutadas / No. de actividades programadas) x 100</t>
  </si>
  <si>
    <t>Porcentaje de ejecución del Plan Institucional de Capacitación.</t>
  </si>
  <si>
    <t xml:space="preserve"> Porcentaje de ejecución al cronograma de actividades de bienestar </t>
  </si>
  <si>
    <t>Plan de bienestar e incetivos año anterior</t>
  </si>
  <si>
    <t>Contando con colaboradores y proveedores idóneos  y Articular los requisitos del Sistema de Seguridad y Salud en el trabajo</t>
  </si>
  <si>
    <t>Potencializar el talento humano con el fin de fortalecer sus competencias
y Generar acciones de mejora continua para optimizar los procesos</t>
  </si>
  <si>
    <t>Porcentaje de cumplimiento del cronograma del SG-SST</t>
  </si>
  <si>
    <t>Plan de Seguridad y Salud en el Trabajo año anterior</t>
  </si>
  <si>
    <t>Reporte oportuno de incapacidades ante la EPS</t>
  </si>
  <si>
    <t>Porcentaje de seguimiento a evaluaciones de desempeño</t>
  </si>
  <si>
    <t>Realizar las evaluaciones de desempeño y de rendimiento laboral de los funcionarios de la CSC</t>
  </si>
  <si>
    <t>Seguimiento a las evaluaciones de desempeño y de rendimiento laboral de funcionarios</t>
  </si>
  <si>
    <t xml:space="preserve">No. de seguimientos efectivos realizados*100 / número de seguimientos requeridos
</t>
  </si>
  <si>
    <t>Mejora en la calificación del autodiagnóstico de talento humano</t>
  </si>
  <si>
    <t>Autodiagnóstico 2024</t>
  </si>
  <si>
    <t xml:space="preserve">Cumplimiento en los Acuerdos de Gestión </t>
  </si>
  <si>
    <t>(Número seguimientos realizados a los acuerdos de gestión / Número total de acuerdos suscritos) x 100.</t>
  </si>
  <si>
    <t>(Número de mantenimientos preventivos ejecutados en el plazo programado / Total de mantenimientos preventivos programados) x 100.</t>
  </si>
  <si>
    <t>(Número de casos de mantenimientos correctivos solucionados / Número de casos de mantenimiento presentados) *100</t>
  </si>
  <si>
    <t>(Actividades ejecutadas según cronogramas de actividades en los planes publicados  / total de  actividades programadas en los Planes )*100</t>
  </si>
  <si>
    <t xml:space="preserve">(Actividades ejecutadas según cronograma del PINAR / Total de Actividades cronograma del PINAR)* 100 </t>
  </si>
  <si>
    <t>Porcentaje de ejecución del PINAR</t>
  </si>
  <si>
    <t>Realizar seguimiento a las actividades propuestas en el cronograma del PINAR</t>
  </si>
  <si>
    <t>≥ 95%.</t>
  </si>
  <si>
    <t>≥ 90.</t>
  </si>
  <si>
    <t>Realizar nuevas vinculaciones durante la vigencia</t>
  </si>
  <si>
    <t>Porcentaje de gestión de consignaciones sin identificar</t>
  </si>
  <si>
    <t>Medir la efectividad en la identificación y gestión de consignaciones recibidas sin información clara de su origen.</t>
  </si>
  <si>
    <t>TES 105</t>
  </si>
  <si>
    <t>31/12/205</t>
  </si>
  <si>
    <t xml:space="preserve">Realizar la gestión con entidades bancarias y afiliados para identificar y regularizar las consignaciones sin identificar registradas en el reporte TES 105, asegurando su correcta asignación </t>
  </si>
  <si>
    <t>(Valor Recaudado Trimestre  / Valor Proyectado en el trimestre )* 100</t>
  </si>
  <si>
    <t>(Valor Ejecutado gastos Trimestre  / Valor Proyectado gastos en el trimestre) * 100</t>
  </si>
  <si>
    <t xml:space="preserve">Ejecución mensual de conciliaciones bancarias de todas las cuentas de la entidad con los bancos correspondientes que se ajusten a los procedimientos establecidos  institucionalmente. </t>
  </si>
  <si>
    <t>Elaboración de Conciliaciones Bancarias</t>
  </si>
  <si>
    <t>Asegurar que todas las cuentas bancarias de la entidad sean conciliadas mensualmente dentro de los plazos establecidos, reflejando la razonabilidad de los movimientos bancarios en los libros contables</t>
  </si>
  <si>
    <t xml:space="preserve">(Número de cuentas bancarias conciliadas en el mes / Total de cuentas bancarias por conciliar) * 100
​
 </t>
  </si>
  <si>
    <t>Resultados 2024</t>
  </si>
  <si>
    <t>(Número de consignaciones sin identificar gestionadas en el periodo/total de consignaciones sin identificar recibidas en el periodo)*100</t>
  </si>
  <si>
    <t>Elaborar el  Plan Anual de mantenimiento de la infraestructura física  de la entidad y realizar el seguimiento de acuerdo al cronograma de actividades planteado</t>
  </si>
  <si>
    <t xml:space="preserve">Seguimiento al Plan Anual de mantenimiento de la infraestructura física </t>
  </si>
  <si>
    <t>Hacer seguimiento a la ejecución del Plan Anual de mantenimiento de la infraetructura fisica  de la Entidad de acuerdo al cronograma de actividades propuesto</t>
  </si>
  <si>
    <t>(Número de actividades realizadasdentro del plazo / Número total de actividades  programadas de acuerdo al cronograma) *100</t>
  </si>
  <si>
    <t>Subgerente Administrativa y Financiera
Técnico operativo</t>
  </si>
  <si>
    <t>Garantizar el cumplimiento del mantenimiento preventivo de los vehículos institucionales. Mínimo dos mantenimientos al año.</t>
  </si>
  <si>
    <t xml:space="preserve">Inspección preoperativa del parque automotor de la entidad. </t>
  </si>
  <si>
    <t>(No. de mantenimientos realizados /No.de mantenimientos programados)*100</t>
  </si>
  <si>
    <t>(No de  inventarios Individuales actualizados/ No de funcionarios entidad)*100</t>
  </si>
  <si>
    <t>(No de reportes generados/ No de reportes programados)*100</t>
  </si>
  <si>
    <t>Reducir el impacto ambiental y contribuir a la conservación del medio ambiente</t>
  </si>
  <si>
    <t>Actualizar el Plan institucional de Gestión Ambiental,  publicarlo en la página web de la Entidad y realizar seguimiento a las actividades</t>
  </si>
  <si>
    <t>Seguimiento al Plan Institucional de Gestión Ambiental - PIGA-</t>
  </si>
  <si>
    <t>Asegurar la implementación y ejecución del Plan Institucional de Gestión Ambiental.</t>
  </si>
  <si>
    <t>(Número de actividades realizadas dentro del tiempo/ Número total de actividades  programadas en el  cronograma)*100</t>
  </si>
  <si>
    <t>Publicar a los entes de control del SIA observa la contratación mensual de la entidad</t>
  </si>
  <si>
    <t>Rendición de cuenta a Contraloría SIA observa</t>
  </si>
  <si>
    <t>Asegurar que la rendición de cuentas se realice dentro del plazo establecido. Tercer día hábil de cada mes</t>
  </si>
  <si>
    <t>(Número de cuentas rendidas en el plazo establecido(3 primeros días hábiles de cada mes)/Total de informes programados)*100</t>
  </si>
  <si>
    <t>(Número de proveedores reevaluados en el periodo/Número de contratos suscritos a reevaluar)*100</t>
  </si>
  <si>
    <t>Seguimiento a la gestión en la ejecución del  Plan Anual de Adquisiciones</t>
  </si>
  <si>
    <t>Evaluar el grado de cumplimiento del PAA en términos de adjudicación de contratos dentro de los plazos y condiciones establecidas.</t>
  </si>
  <si>
    <t>(Número de contratos adjudicados según PAA / Total de contratos programados en el PAA) * 100</t>
  </si>
  <si>
    <t>Plan anual de adquisiciones del año anterior</t>
  </si>
  <si>
    <t xml:space="preserve">Realizar  seguimiento al reporte de los procesos entregados a la firma de  representación judicial  en los que  se haya decretado  sentencia de prescripción de la acción cambiaria y desistimiento tácitos.   </t>
  </si>
  <si>
    <t>Evaluar el seguimiento a las obligaciones entregadas a la firma de representación judicial para la gestión de cobros jurídicos.</t>
  </si>
  <si>
    <t>Número de obligaciones revisadas en la plataforma de la rama judicial 
---------------------------------------*100
Número de obligaciones entregadas con  a la firma de Representación Judicial</t>
  </si>
  <si>
    <t>≥ 95%</t>
  </si>
  <si>
    <t>Medir el cumplimiento de la política de prevención del daño antijurídico.</t>
  </si>
  <si>
    <t>(Número de informes aprobados en comité / No de informes programados)*100</t>
  </si>
  <si>
    <t>Identificación y seguimiento de procesos con prescripción o desistimientos tácitos</t>
  </si>
  <si>
    <t>Medir la efectividad en la gestión de procesos jurídicos que pueden prescribir o requerir desistimientos tácitos.</t>
  </si>
  <si>
    <t xml:space="preserve">
(Número de proceso con sentencia de desistimientos tácitos y/o prescripción de la acción cambiaria/
Número de nuevas demandas presentadas y admitidas)*100</t>
  </si>
  <si>
    <t>≤ 5% de procesos prescritos sin gestión previa.</t>
  </si>
  <si>
    <t>Mejora el Sistema de Gestión de
Calidad y asegura si integración con el Modelo Integrado de Planeación y
Gestión</t>
  </si>
  <si>
    <t>Entregar oportunamente los elementos de papelería y consumo indicados en las solicitudes recibidas.</t>
  </si>
  <si>
    <t xml:space="preserve">Porcentaje de cumplimiento en la entrega de solicitudes recibidas.
</t>
  </si>
  <si>
    <t>Satisfacer a conformidad las necesidades de elementos de consumo y papelería en los diferentes procesos de la Entidad.</t>
  </si>
  <si>
    <t>(No. de solicitudes entregadas completas/No. de solicitudes recibidas)*100</t>
  </si>
  <si>
    <t>PROCESO</t>
  </si>
  <si>
    <t>CUMPLIMIENTO</t>
  </si>
  <si>
    <t>MIPG</t>
  </si>
  <si>
    <t>Mejora el Sistema de Gestión de
Calidad y asegura su integración con el Modelo Integrado de Planeación y
Gestión</t>
  </si>
  <si>
    <t xml:space="preserve">Subgerente de Servicios Corporativos
 Profesional de crédito
</t>
  </si>
  <si>
    <t>Subgerente de Servicios Corporativos
 Profesional de crédito</t>
  </si>
  <si>
    <t>Subgerente de Servicios Corporativos
Profesional de crédito</t>
  </si>
  <si>
    <t>Director Técnico de Cartera 
Profesional de Cartera
Jefe Oficina Gestión Jurídica</t>
  </si>
  <si>
    <t>Director Técnico de Cartera 
Profesional de Cartera</t>
  </si>
  <si>
    <t>OBSERVACIONES 1ER. TRIMESTRE (Cada Proceso)</t>
  </si>
  <si>
    <t>OBSERVACIONES 1ER. TRIMESTRE (Planeación)</t>
  </si>
  <si>
    <t>OBSERVACIONES 2DO. TRIMESTRE (Cada Proceso)</t>
  </si>
  <si>
    <t>SEGUIMIENTO 2025</t>
  </si>
  <si>
    <t xml:space="preserve">Código: CSC-DE-FR-06		</t>
  </si>
  <si>
    <t>Versión: 03</t>
  </si>
  <si>
    <t>Fecha: Mayo 30 de 2023</t>
  </si>
  <si>
    <t>En el primer trimestre de 2025 se beneficiaron 1,751 afiliados con anchetas de productos cundinamarqueses como incentivo , y  57 afiliados y beneficarios con cursos de -Reacciòn ante la  crisis(primeros auxilios psicològicos) (27),comunicaciòn efectiva (22) y manejo de estrès y ansiedad (8), para  un total de 1,808 beneficiados. en este trimestre tambièn se firmaron  7 alianzas con empresas que ofrecen  descuentos y beneficios especiales para los afiliados  y sus familias tales como: Brigadas de Colombia,Cupòn APP, Colsanitas, Dmfmedics, Uniservantes,Uniagraria, Britisacademy.</t>
  </si>
  <si>
    <t>En  el primer trimestre  de 2025 se relizaron 106 visitas a 37  municipios del departamento de los 24 programados,  encaminadas a difundir y promocionar el portafolio de servicios de la entidad. Asesorando y tramitando tanto créditos como afiliaciones</t>
  </si>
  <si>
    <t>En el primer trimestre de 2025  se giraron 32 subsidios educativos  de los  49  activos,  pero  la mediciòn se harà en el segundo trimestre, teniendo en cuenta que los giros son semestrales y se miden en el segundo y cuarto trimestre</t>
  </si>
  <si>
    <t xml:space="preserve">En el primer trimestre de 2025 se radicaron 222 crèditos , se aprobaron 152 y  desembolsaron los  152 crèditos aprobados,  superando  la meta esperada que era de 100. </t>
  </si>
  <si>
    <t>De los 152 créditos desembolsados durante el  primer trimestre de 2025, 10 corresponde a crédito de vivienda hipotecarios de los cuales  los 10 fueron desembolsados en un periodo menor a 60 dias, dando cumplimiento a la meta programada.</t>
  </si>
  <si>
    <t>De los 152 créditos desembolsados durante el  primer trimestre de 2025, 142 corresponde a crédito de consumo de los cuales  los 142 fueron desembolsados en un periodo menor a 30 dias, dando cumplimiento a la meta programada.</t>
  </si>
  <si>
    <t>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t>
  </si>
  <si>
    <t>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t>
  </si>
  <si>
    <t>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t>
  </si>
  <si>
    <t>El indicador dio como resultado del tercer trimestre un 33% la oficina Asesora Jurídica debe implentar las acciones necesarias para cumplir con la meta esperada.</t>
  </si>
  <si>
    <t>El indicador dio el resultado del 2%, debido a la gestión que se viene desarrollando por parte del personal contratado, dentro del cual se implemento una comunicación que se envia a todos los correos,  para la gestión del cobro en estado persuasivo.</t>
  </si>
  <si>
    <t>El indicador dio el resultado del 3%, debido a la gestión que se viene desarrollando por parte del personal contratado,   para la gestión del cobro en estado persuasivo.</t>
  </si>
  <si>
    <t>El indicador dio como resultado del primer trimestre un 99,70% , por la gestión que desde la Unidad de cartera y Ahorros se está realizando con las pagadurias.</t>
  </si>
  <si>
    <t>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t>
  </si>
  <si>
    <t>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t>
  </si>
  <si>
    <t>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t>
  </si>
  <si>
    <t>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t>
  </si>
  <si>
    <r>
      <t>Durante el trimestre</t>
    </r>
    <r>
      <rPr>
        <b/>
        <sz val="9"/>
        <rFont val="Arial"/>
        <family val="2"/>
      </rPr>
      <t xml:space="preserve"> (Enero, Febrero ,Marzo),</t>
    </r>
    <r>
      <rPr>
        <sz val="9"/>
        <rFont val="Arial"/>
        <family val="2"/>
      </rPr>
      <t xml:space="preserve"> del año 2025 se ha dado cumplimiento al PAA en los siguientes proceso de contratación. 
</t>
    </r>
    <r>
      <rPr>
        <b/>
        <sz val="9"/>
        <rFont val="Arial"/>
        <family val="2"/>
      </rPr>
      <t>1.</t>
    </r>
    <r>
      <rPr>
        <sz val="9"/>
        <rFont val="Arial"/>
        <family val="2"/>
      </rPr>
      <t xml:space="preserve"> Prestación del servicio de vigilancia y seguridad privada, para la protección de los bienes muebles en inmuebles y enseres de propiedad de la corporación social de Cundinamarca 	</t>
    </r>
    <r>
      <rPr>
        <b/>
        <sz val="9"/>
        <rFont val="Arial"/>
        <family val="2"/>
      </rPr>
      <t>25-0005</t>
    </r>
    <r>
      <rPr>
        <sz val="9"/>
        <rFont val="Arial"/>
        <family val="2"/>
      </rPr>
      <t xml:space="preserve">
</t>
    </r>
    <r>
      <rPr>
        <b/>
        <sz val="9"/>
        <rFont val="Arial"/>
        <family val="2"/>
      </rPr>
      <t>2.</t>
    </r>
    <r>
      <rPr>
        <sz val="9"/>
        <rFont val="Arial"/>
        <family val="2"/>
      </rPr>
      <t xml:space="preserve"> Prestación de servicio de mantenimiento integral preventivo y correctivo incluido el suministro de repuestos del parque automotor.   </t>
    </r>
    <r>
      <rPr>
        <b/>
        <sz val="9"/>
        <rFont val="Arial"/>
        <family val="2"/>
      </rPr>
      <t>En proceso de evaluación preliminar de ofertas
3.</t>
    </r>
    <r>
      <rPr>
        <sz val="9"/>
        <rFont val="Arial"/>
        <family val="2"/>
      </rPr>
      <t xml:space="preserve"> Servicio de suministro de aseo y cafetería en las instalaciones de la sede principal y gobernación.</t>
    </r>
    <r>
      <rPr>
        <b/>
        <sz val="9"/>
        <rFont val="Arial"/>
        <family val="2"/>
      </rPr>
      <t xml:space="preserve">  25-003</t>
    </r>
    <r>
      <rPr>
        <sz val="9"/>
        <rFont val="Arial"/>
        <family val="2"/>
      </rPr>
      <t xml:space="preserve">
</t>
    </r>
    <r>
      <rPr>
        <b/>
        <sz val="9"/>
        <rFont val="Arial"/>
        <family val="2"/>
      </rPr>
      <t>4.</t>
    </r>
    <r>
      <rPr>
        <sz val="9"/>
        <rFont val="Arial"/>
        <family val="2"/>
      </rPr>
      <t xml:space="preserve">Servicios profesionales exámenes médicos ocupacionales de ingreso, periódicos de retiro, prueba psicométrica.  </t>
    </r>
    <r>
      <rPr>
        <b/>
        <sz val="9"/>
        <rFont val="Arial"/>
        <family val="2"/>
      </rPr>
      <t xml:space="preserve">25-0006. 
5. </t>
    </r>
    <r>
      <rPr>
        <sz val="9"/>
        <rFont val="Arial"/>
        <family val="2"/>
      </rPr>
      <t xml:space="preserve">Suministro de combustible para el parque automotor. </t>
    </r>
    <r>
      <rPr>
        <b/>
        <sz val="9"/>
        <rFont val="Arial"/>
        <family val="2"/>
      </rPr>
      <t xml:space="preserve"> 25-0001</t>
    </r>
    <r>
      <rPr>
        <sz val="9"/>
        <rFont val="Arial"/>
        <family val="2"/>
      </rPr>
      <t xml:space="preserve">
</t>
    </r>
    <r>
      <rPr>
        <b/>
        <sz val="9"/>
        <rFont val="Arial"/>
        <family val="2"/>
      </rPr>
      <t>6.</t>
    </r>
    <r>
      <rPr>
        <sz val="9"/>
        <rFont val="Arial"/>
        <family val="2"/>
      </rPr>
      <t xml:space="preserve"> Alquiler de impresoras y scaners. </t>
    </r>
    <r>
      <rPr>
        <b/>
        <sz val="9"/>
        <rFont val="Arial"/>
        <family val="2"/>
      </rPr>
      <t>25-0002</t>
    </r>
    <r>
      <rPr>
        <sz val="9"/>
        <rFont val="Arial"/>
        <family val="2"/>
      </rPr>
      <t xml:space="preserve">
</t>
    </r>
    <r>
      <rPr>
        <b/>
        <sz val="9"/>
        <rFont val="Arial"/>
        <family val="2"/>
      </rPr>
      <t xml:space="preserve">7. </t>
    </r>
    <r>
      <rPr>
        <sz val="9"/>
        <rFont val="Arial"/>
        <family val="2"/>
      </rPr>
      <t xml:space="preserve">Proyecto tendiente al mejoramiento de la calidad de vida de los afiliados y su núcleo familiar a través del desarrollo de programas de fortalecimiento en el sector educativo, tecnológico y social.  </t>
    </r>
    <r>
      <rPr>
        <b/>
        <sz val="9"/>
        <rFont val="Arial"/>
        <family val="2"/>
      </rPr>
      <t>25-056 (FONDECUN)</t>
    </r>
    <r>
      <rPr>
        <sz val="9"/>
        <rFont val="Arial"/>
        <family val="2"/>
      </rPr>
      <t xml:space="preserve">
</t>
    </r>
    <r>
      <rPr>
        <b/>
        <sz val="9"/>
        <rFont val="Arial"/>
        <family val="2"/>
      </rPr>
      <t>8.</t>
    </r>
    <r>
      <rPr>
        <sz val="9"/>
        <rFont val="Arial"/>
        <family val="2"/>
      </rPr>
      <t xml:space="preserve"> Adquisición e instalación de material publicitarios, marketing, logística, plan de medios y posicionamiento. </t>
    </r>
    <r>
      <rPr>
        <b/>
        <sz val="9"/>
        <rFont val="Arial"/>
        <family val="2"/>
      </rPr>
      <t xml:space="preserve">25-076 (INMOBILIARIA.)
</t>
    </r>
    <r>
      <rPr>
        <sz val="9"/>
        <rFont val="Arial"/>
        <family val="2"/>
      </rPr>
      <t xml:space="preserve">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dejaran plasmados en el PAA vigencia 2025.  Adicionalmente se adjunta archivo en Excel con la base de datos con la contratación directa que se realizó desde el mes de </t>
    </r>
    <r>
      <rPr>
        <b/>
        <sz val="9"/>
        <rFont val="Arial"/>
        <family val="2"/>
      </rPr>
      <t xml:space="preserve">Enero hasta el 31 de Marzo de 2025, Contrato 25-001 hasta el 25-069. Nota: </t>
    </r>
    <r>
      <rPr>
        <sz val="9"/>
        <rFont val="Arial"/>
        <family val="2"/>
      </rPr>
      <t xml:space="preserve">Información que reposa en las carpetas en </t>
    </r>
    <r>
      <rPr>
        <b/>
        <sz val="9"/>
        <rFont val="Arial"/>
        <family val="2"/>
      </rPr>
      <t xml:space="preserve">físico en el archivo de la Oficina de Contratación y en la Red.                                                                                                                                                                                                                                                                                                                                  </t>
    </r>
  </si>
  <si>
    <t>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t>
  </si>
  <si>
    <r>
      <t xml:space="preserve">El número de cuentas rendidas durante el periodo de Enero a Marzo de 2025 en la plataforma de SIA OBSERVA los primeros tres (3) días hábiles del mes correspondiente son:
</t>
    </r>
    <r>
      <rPr>
        <b/>
        <sz val="10"/>
        <rFont val="Arial"/>
        <family val="2"/>
      </rPr>
      <t>ENERO:</t>
    </r>
    <r>
      <rPr>
        <sz val="10"/>
        <rFont val="Arial"/>
        <family val="2"/>
        <charset val="1"/>
      </rPr>
      <t xml:space="preserve"> Se rindieron </t>
    </r>
    <r>
      <rPr>
        <b/>
        <sz val="10"/>
        <rFont val="Arial"/>
        <family val="2"/>
      </rPr>
      <t>24</t>
    </r>
    <r>
      <rPr>
        <sz val="10"/>
        <rFont val="Arial"/>
        <family val="2"/>
        <charset val="1"/>
      </rPr>
      <t xml:space="preserve"> contratos. 
</t>
    </r>
    <r>
      <rPr>
        <b/>
        <sz val="10"/>
        <rFont val="Arial"/>
        <family val="2"/>
      </rPr>
      <t>FEBRERO:</t>
    </r>
    <r>
      <rPr>
        <sz val="10"/>
        <rFont val="Arial"/>
        <family val="2"/>
        <charset val="1"/>
      </rPr>
      <t xml:space="preserve"> Se rindieron </t>
    </r>
    <r>
      <rPr>
        <b/>
        <sz val="10"/>
        <rFont val="Arial"/>
        <family val="2"/>
      </rPr>
      <t>27</t>
    </r>
    <r>
      <rPr>
        <sz val="10"/>
        <rFont val="Arial"/>
        <family val="2"/>
        <charset val="1"/>
      </rPr>
      <t xml:space="preserve"> contratos.
</t>
    </r>
    <r>
      <rPr>
        <b/>
        <sz val="10"/>
        <rFont val="Arial"/>
        <family val="2"/>
      </rPr>
      <t>MARZO:</t>
    </r>
    <r>
      <rPr>
        <sz val="10"/>
        <rFont val="Arial"/>
        <family val="2"/>
        <charset val="1"/>
      </rPr>
      <t xml:space="preserve"> Se rindieron </t>
    </r>
    <r>
      <rPr>
        <b/>
        <sz val="10"/>
        <rFont val="Arial"/>
        <family val="2"/>
      </rPr>
      <t>19</t>
    </r>
    <r>
      <rPr>
        <sz val="10"/>
        <rFont val="Arial"/>
        <family val="2"/>
        <charset val="1"/>
      </rPr>
      <t xml:space="preserve"> contratos.
</t>
    </r>
    <r>
      <rPr>
        <b/>
        <sz val="10"/>
        <rFont val="Arial"/>
        <family val="2"/>
      </rPr>
      <t>NOTA:</t>
    </r>
    <r>
      <rPr>
        <sz val="10"/>
        <rFont val="Arial"/>
        <family val="2"/>
        <charset val="1"/>
      </rPr>
      <t xml:space="preserve"> Se adjunta actas de reunión y constancia de rendición del mes de Enero, Febrero y Marzo de 2025.
</t>
    </r>
    <r>
      <rPr>
        <b/>
        <sz val="10"/>
        <rFont val="Arial"/>
        <family val="2"/>
      </rPr>
      <t xml:space="preserve">NOTA 2: </t>
    </r>
    <r>
      <rPr>
        <sz val="10"/>
        <rFont val="Arial"/>
        <family val="2"/>
        <charset val="1"/>
      </rPr>
      <t xml:space="preserve">Nos econtramos actualimente culminado al 100% la ejecuion y termninacion en la plataforma de la vigencia 2024, con un avance del 70%. </t>
    </r>
  </si>
  <si>
    <r>
      <t xml:space="preserve">En el primer trimestre de la vigencia 2025 se realizaron los siguientes cierres de contratos: 
</t>
    </r>
    <r>
      <rPr>
        <b/>
        <sz val="10"/>
        <rFont val="Arial"/>
        <family val="2"/>
      </rPr>
      <t xml:space="preserve">1. </t>
    </r>
    <r>
      <rPr>
        <sz val="10"/>
        <rFont val="Arial"/>
        <family val="2"/>
      </rPr>
      <t xml:space="preserve">Plan de Medios 24-061 
</t>
    </r>
    <r>
      <rPr>
        <b/>
        <sz val="10"/>
        <rFont val="Arial"/>
        <family val="2"/>
      </rPr>
      <t xml:space="preserve">2. </t>
    </r>
    <r>
      <rPr>
        <sz val="10"/>
        <rFont val="Arial"/>
        <family val="2"/>
      </rPr>
      <t xml:space="preserve">Vigias 24-0005
</t>
    </r>
    <r>
      <rPr>
        <b/>
        <sz val="10"/>
        <rFont val="Arial"/>
        <family val="2"/>
      </rPr>
      <t xml:space="preserve">3. </t>
    </r>
    <r>
      <rPr>
        <sz val="10"/>
        <rFont val="Arial"/>
        <family val="2"/>
      </rPr>
      <t xml:space="preserve">Cindy Dayana Cubillos  24-074
</t>
    </r>
    <r>
      <rPr>
        <b/>
        <sz val="10"/>
        <rFont val="Arial"/>
        <family val="2"/>
      </rPr>
      <t xml:space="preserve">4. </t>
    </r>
    <r>
      <rPr>
        <sz val="10"/>
        <rFont val="Arial"/>
        <family val="2"/>
      </rPr>
      <t xml:space="preserve">Yadira Corchuelo 25-001
</t>
    </r>
    <r>
      <rPr>
        <b/>
        <sz val="10"/>
        <rFont val="Arial"/>
        <family val="2"/>
      </rPr>
      <t xml:space="preserve">5. </t>
    </r>
    <r>
      <rPr>
        <sz val="10"/>
        <rFont val="Arial"/>
        <family val="2"/>
      </rPr>
      <t xml:space="preserve">Liliana Perez  25-002
</t>
    </r>
    <r>
      <rPr>
        <b/>
        <sz val="10"/>
        <rFont val="Arial"/>
        <family val="2"/>
      </rPr>
      <t xml:space="preserve">6. </t>
    </r>
    <r>
      <rPr>
        <sz val="10"/>
        <rFont val="Arial"/>
        <family val="2"/>
      </rPr>
      <t xml:space="preserve">Bleyni Herrada 25-003
</t>
    </r>
    <r>
      <rPr>
        <b/>
        <sz val="10"/>
        <rFont val="Arial"/>
        <family val="2"/>
      </rPr>
      <t xml:space="preserve">NOTA: </t>
    </r>
    <r>
      <rPr>
        <sz val="10"/>
        <rFont val="Arial"/>
        <family val="2"/>
      </rPr>
      <t xml:space="preserve">El acta de liquidacion y acta de terminación de cada uno de los contratos anteriormente mesionados se encuentran en la Red.  </t>
    </r>
    <r>
      <rPr>
        <b/>
        <sz val="10"/>
        <rFont val="Arial"/>
        <family val="2"/>
      </rPr>
      <t xml:space="preserve"> </t>
    </r>
  </si>
  <si>
    <t>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t>
  </si>
  <si>
    <t>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t>
  </si>
  <si>
    <t>Se elaboro el cronograma de mantenimientos preventivos para el año 2025.
Se proyecto cambios en el procedimientos de mantenimientos. 
Se proyecto lista de chequeo para mayor control de los mantenimientos.
Se realizo mantenimiento preventivo tres multifuncionales de la entidad.</t>
  </si>
  <si>
    <t>Se realizaro 64 soportes a usuarios que se encuentran reportados en el formato de calidad, dando respuesta satisfactoria a la totalidad.</t>
  </si>
  <si>
    <t>Se realizo el proceso de alquiler de las multifuncionales culminando satisfactoriamiente (contrato 25-0002,) él cual incluyo estudio previo de la necesidad de cada una de las areas que constituyen la entidad.</t>
  </si>
  <si>
    <r>
      <rPr>
        <b/>
        <sz val="8"/>
        <rFont val="Arial"/>
        <family val="2"/>
      </rPr>
      <t xml:space="preserve">Planes y proyectos:
1. </t>
    </r>
    <r>
      <rPr>
        <sz val="8"/>
        <rFont val="Arial"/>
        <family val="2"/>
        <charset val="1"/>
      </rPr>
      <t xml:space="preserve">De acuerdo con la grave problemática que actualmente existe en el archivo CSC. Para poder solucionar de manera pronta, eficaz y evitando a que a futuro la CSC se haga acreedora a millonarias multas, la subgerencia administrativa y financiera, tomó la determinación de crear un comité de Archivo Interno, mediante resolución No. 14 de 2025 para llevar las diferentes problemáticas al Comité institucional de gestión y desempeño y subsanar todas las inconsistencias. Posteriormente, la Oficina de Control Interno, comentó que no se debía haber realizado dicho Comité, ya que el comité institucional de gestión y desempeño absorbía el mismo, por ello se debía derogar la anterior resolución. 
</t>
    </r>
    <r>
      <rPr>
        <b/>
        <sz val="8"/>
        <rFont val="Arial"/>
        <family val="2"/>
      </rPr>
      <t xml:space="preserve">2. </t>
    </r>
    <r>
      <rPr>
        <sz val="8"/>
        <rFont val="Arial"/>
        <family val="2"/>
        <charset val="1"/>
      </rPr>
      <t xml:space="preserve">Se hizo un acercamiento por parte del contratista asignado, al Archivo General de la Nación con el fin de averiguar y buscar el apoyo en la actualización de las Tablas de Retención Documental de la CSC, el AGN preguntó si el contratista asignado era profesional Archivista, teniendo en cuenta que la corporación no cuenta con un profesional archivista ni de planta ni de contrato, no fue posible recibir la información. Sin embargo, se ha venido adelantando con las dependencias las necesidades para la actualización de las TRD de la CSC, en espera de que con ayuda de la Gerencia General se pueda contar en algún momento con la presencia de un profesional archivista que concluya satisfactoriamente con el proyecto.
</t>
    </r>
    <r>
      <rPr>
        <b/>
        <sz val="8"/>
        <rFont val="Arial"/>
        <family val="2"/>
      </rPr>
      <t xml:space="preserve">3. </t>
    </r>
    <r>
      <rPr>
        <sz val="8"/>
        <rFont val="Arial"/>
        <family val="2"/>
        <charset val="1"/>
      </rPr>
      <t xml:space="preserve">El día 04/feb/2025 se solicitó y se autorizó con la Subgerencia Administrativa y Financiera el traslado de 2 equipos de computo a la bodega de archivo histórico, para realizar el procedimiento de levantamiento de FUID de las 279 cajas X200. El proyecto se había planeado a realizarse con tres contratistas, no obstante, la Gerencia únicamente asignó un contratista que ha servido de apoyo no solo para esta función sino para todas las funciones de archivo, a la fecha se ha realizado FUID de tres cajas; 1.418 registros.
</t>
    </r>
    <r>
      <rPr>
        <b/>
        <sz val="8"/>
        <rFont val="Arial"/>
        <family val="2"/>
      </rPr>
      <t xml:space="preserve">4. CUMPLIDO. </t>
    </r>
    <r>
      <rPr>
        <sz val="8"/>
        <rFont val="Arial"/>
        <family val="2"/>
        <charset val="1"/>
      </rPr>
      <t xml:space="preserve">Se viene realizando el seguimiento de temperatura de la bóveda, la cual debe estar entre 18 y 23 °C y con una humedad relativa promedio entre 55 y 60%, durante el mes de marzo y debido a las fuertes lluvias, la humedad se ha elevado por encima del 60%, el día 18/mar/2025 se remitió un correo a la Subgerencia Administrativa y Financiera informando que se presentan problemas con el dispositivo DESHUMIFICADOR, ya que el uso de este no esta disminuyendo la humedad, el almacenista general respondió que en los próximos meses se llevará a cabo el debido mantenimiento.
</t>
    </r>
    <r>
      <rPr>
        <b/>
        <sz val="8"/>
        <rFont val="Arial"/>
        <family val="2"/>
      </rPr>
      <t xml:space="preserve">5. CUMPLIDO. </t>
    </r>
    <r>
      <rPr>
        <sz val="8"/>
        <rFont val="Arial"/>
        <family val="2"/>
        <charset val="1"/>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
    </r>
    <r>
      <rPr>
        <b/>
        <sz val="8"/>
        <rFont val="Arial"/>
        <family val="2"/>
      </rPr>
      <t>6.</t>
    </r>
    <r>
      <rPr>
        <sz val="8"/>
        <rFont val="Arial"/>
        <family val="2"/>
        <charset val="1"/>
      </rPr>
      <t xml:space="preserve"> Para realizar el procedimiento de cambio de las 279 cajas X200. El proyecto se había planeado a realizarse con tres contratistas, no obstante, la Gerencia únicamente asignó un contratista que ha servido de apoyo no solo para esta función sino para todas las funciones de archivo, a la fecha se ha realizado cambio de tres cajas.
</t>
    </r>
    <r>
      <rPr>
        <b/>
        <sz val="8"/>
        <rFont val="Arial"/>
        <family val="2"/>
      </rPr>
      <t>7. CUMPLIDO.</t>
    </r>
    <r>
      <rPr>
        <sz val="8"/>
        <rFont val="Arial"/>
        <family val="2"/>
        <charset val="1"/>
      </rPr>
      <t xml:space="preserve"> Se realizó un cronograma para brindar 2 capacitaciones de Gestión Documental de manera bimensual con los funcionarios y contratistas de la CSC, en el mes de febrero se realizaron dos (2) de forma virtual, a la cual se presentaron 16 asistentes, adicionalmente en el mes de enero se había llevado a cabo una capacitación por parte de un contrato de consultoría con la UT-CSC 2024 a la cual se presentaron 15 asistentes, el día 18/feb/2025 se realizó de manera presencial una capacitación en la oficina de créditos para 12 asistentes, y el 19/feb/2025 se realizó otra capacitación en la oficina de talento humano para otro funcionario. </t>
    </r>
  </si>
  <si>
    <t>PARA EL PRIMER TRIMESTRE DEL AÑO 2025 SE CUMPLIO CON EL OBJETIVO DE MANTENER UNA BUENA HIGIENE Y CONDICIONES AMBIENTALES OPTIMAS PARA EL TRABAJO EN LA SEDE PRINCIPAL DE LA CSC, MEDIANTE CONTRATO DE PRESTACION DE SERVICIOS CON LOS CONTRATOS Nº 25-001,002 Y003 Y EN MARZO CON EL CONTRATO DE ASEO Y CAFETERIA Nº 25-0003 CON LA EMPRESA SERVIASEO S.A.</t>
  </si>
  <si>
    <t>Se solicitaron cotizaciones el 28/01/2025, se reciben las mismas el 03/02/2025, se realiza soliciud de CDP y se remite a Contratación con Estudio Previo para nuevo contrato de Mantenimiento del Parque Automotor 2025 el 04/02/2025.</t>
  </si>
  <si>
    <t>EN EL PRIMER TRIMESTRE DEL AÑO SE DESPACHARON SATISFACTORIAMENTE 18 SOLICITUDES DE ELEMENTOS DE ALMACEN A LAS DEPENDENCIAS SOLICITANTES.</t>
  </si>
  <si>
    <t>ESTA ACTIVIDAD SE RALIZA EN EL SEGUNDO TRIMESTRE DEL AÑO 2025</t>
  </si>
  <si>
    <t>SE REALIZARON LOS 3 REPORTES MENSUALES EN EL SISTEMA NOVASOFT DONDE SE VERIFICA LAS ENTRADAS Y SALIDAS DEL ALMACEN EN ELEMENTOS DE CONSUMO Y ELEMENTOS DEVOLUTIVOS.</t>
  </si>
  <si>
    <t>SE ACTUALIZO EL PIGA Y PARA ESTE TRIMESTRE SE CUMPLIO CON UNA ACTIVIDAD PROGRAMADA.</t>
  </si>
  <si>
    <t>Se adelantaron las capacitaciones correspondientes a los ejes 1 y 3 del cronograma de actividades propuestas, abordando los temas de derechos humanos, constructores de paz, lenguaje incluyente y cuidado y equidad; mediante elconversaroio Me cuido para cuidarte,
No, obstante lo contemplado en el eje 6 correspondiente a actualización de la normativa de la función pública, se encuntra en proceso de cotizciónes y alianzas que permitan llevar a cabo  la capacitación contemplada</t>
  </si>
  <si>
    <t>Se realizó entrega de bonos de cine, los funcionarios que cumplieron años durante el trimiestre accedieron al día compensatorio, asi mismo los interesados accederieon al horario flexible, la sala lactante se encuentra permanentemente en disposición de las usuarias que la requerran, se realizò celebrciòn del dia del hombre y de la mujer.
Lo correspondiente a Copa Gobernación se encuentra en planeación por parte de Función Pública para iniciar a partir del mes de Mayo. lo referente a los convenios deportivos se adelantó gestión de cotización para iniciar proceso de contratación.
Lo referente alincentivo de la bicileta este se encuentra viigente mediante acto administrativo, pero a la fecha no so otrogó como quiera que los funcionarios no usan este medio de transporte para el desplazamiento a la Coporación.
Lo referente al programa servimos, se realizará una ficha gráfica para la dovulgación del mismo, la cual se traslada su socialización para el segundo trimestre</t>
  </si>
  <si>
    <t xml:space="preserve">De acuerdo al Plan Anual de SG-SST 2025, el cronograma cuento con 18 actividades programadas, de las cuales se tuvo una ejecución como tal de 17 de estas, la única que no se ejecuto como tal, es el reporte de accidente de trabajo, el cual está sujeto al evento como tal y en este primer trimestre no se tuvo este reporte en la CSC. 
Las Actividades programadas fueron: Convocatoria Comité Paritario de Seguridad y Salud en el Trabajo, Aplicación encuesta de perfil sociodemográfico, Realización de Inspección de Puestos de Trabajo, Talleres de desórdenes musculo-esqueléticos, Actualización Documentación del sistema (Caracterización, procedimientos, formatos etc.), Realizar Autoevaluación de Estándares Mínimos, Afiliación a ARL a Funcionarios y Contratistas De Nuevo Ingreso, Ingresar Ausentismos a la Plataforma Alista, Reporte Autoevaluación de estándares mínimos al ministerio del trabajo, Exámenes de Ingreso y Egreso de Funcionarios, COPASST- Roles y Responsabilidades, TRABAJADORES- Comunicación asertiva e inteligencia emocional, TRABAJADORES- Cuidemos nuestra columna vertebral, TRABAJADORES- Hábitos y estilos de vida saludable ( motivación), TRABAJADORES: Manejo de estrés y ansiedad, BRIGADISTAS: Concientización y compromiso de ser brigadista, SAFL: Mitos de la lactancia materna y normatividad  ( beneficios, propiedades y efectos a corto y largo plazo) cuidados de la madre y el bebé signos de alarma; estas fueron realizadas mediante el apoyo de la ARL Positiva y el equipo de profesionales de Talento Humano. </t>
  </si>
  <si>
    <t>El procesose generó sin  novedades</t>
  </si>
  <si>
    <t>Las incapacidades registradas corresponden a las recibidas e ingresadas al sistema de acuerdo al cronograma de nómina</t>
  </si>
  <si>
    <t>Se realizó el acompañamiento a los evaluadores para realizar las evaluaciones del desempeño laboral de 15  servidores publicos inscritos en carrera administrativa  por el periodo comprendido entre el 1o de febrero de 2024 al 31 de enero del  año 2025 y la evaluacion de periodo de prueba de 3 funcionarios DIEGO CANTE, JAIRO  MANRIQUE Y DIANA GRANADOSm se verifico se realizaran y se enviaron requerimientos para que cumplieran con esta obligacion. Quedo pendiente una evaluacion de desempeño correpondiente a una funcionaria que solicito la suspension de la evaluacion por temas de salud.</t>
  </si>
  <si>
    <t>se realizó el seguimiento y analisis al autodiagnostico del año 2024, el cual se encuentra en el Plan Estrategico de Recursos Humanoscapitulo 4 a partir de la pagina 10, cuyo cronograma de trabajo para mejorar los puntajes mas bajos se encuentra en la pagina 13.chrome-extension://efaidnbmnnnibpcajpcglclefindmkaj/https://csc.gov.co/wp-content/uploads/2025/01/1-PLAN-ESTRATEGICO-DE-TALENTO-HUMANO.pdf</t>
  </si>
  <si>
    <t>En este indicador, Talento Humano adelanto reuniones con Directivos de cada Área y los designados para el apoyo en el cumplimiento de los acuerdos de gestión, para realizar una revisión de los del 2024 y partir de ahí plantear los del 2025, para lo que se contemplaron los compromisos, objetivos y actividades de cada pilar, respondiendo a las temáticas de cada uno, estos fueron remitidos a Planeación, quienes realizaron algunas observaciones y modificación y posterior pasaron a la encargada de Talento Humano y la Subgerente Administrativa y Financiera para que tuviera una última revisión y posterior ser socializados en comité directivo y firmados.</t>
  </si>
  <si>
    <t>De acuerdo al PAC del año 2025 se tenía programado  recaudar ingresos por valor de $11.823.722.021 y se recaudó presupuestalmente la suma de $10.078.667.527, es decir el 85.2 %, de lo proyectado. Lo anterior significa que no se cumplió el tope de recaudo durante el primer trimestre 2025.</t>
  </si>
  <si>
    <t>De acuerdo con el PAC del 2025 se tenía programado ejecutar gastos durante el primer trimestre por valor de $ $11.823.722.021 y se ejecutó la suma de $ 11.468.353.732, es decir el 96.9% de lo proyectado.</t>
  </si>
  <si>
    <t>Se remitieron informes a los entes de control tales como el Chip/Cuipo/CGN/Contraloría Departamental /Secretaría de Hacienda/ requeridos en el  primer trimestre del  2025.</t>
  </si>
  <si>
    <t xml:space="preserve">Las conciliaciones bancarias se realizan mensualmente con fecha de corte al mes inmediatamente anterior en sinergia con el área de tesorería de la Entidad. Sin embargo  a la fecha se estra trabajando en las conciliaciones toda vez que se deben realizar ajustes en el sistema Novasoft de los meses enero y febrero. Ademas se encuentran pendientes las interfaces del mes de marzo para dicha gestíon. </t>
  </si>
  <si>
    <t xml:space="preserve">Para el primer trimestre de 2025, el recaudo se encuentra por debajo de lo presupuestado en aproximadamente 5,08% debido en gran medida a la demora en la contratación de asesores comerciales, los cuales son quienes incentivan el pago de cuotas y la afiliación de nuevos beneficiarios de créditos. Así mismo el cobro de cartera es deficiente en los primeros meses del año </t>
  </si>
  <si>
    <t>El porcentaje de gastos ejecutados frente al programado, radica en la Contratación de órdenes de prestación de servicios, los cuales iniciaron en su mayoría en el mes de marzo, por esta razón la ejecución se ve un tanto quedada con relación a lo programado</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</si>
  <si>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t>
  </si>
  <si>
    <t>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t>
  </si>
  <si>
    <t>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t>
  </si>
  <si>
    <t>Se realizó publicación y seguimiento de los planes</t>
  </si>
  <si>
    <t>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t>
  </si>
  <si>
    <t>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t>
  </si>
  <si>
    <t>El indicador cumple con las actividades programadas para el trimestre. Según las evidencias presentadas por el proceso, se registran tres contratos con fecha de inicio del 17 de enero para servicios generales en la CSC, así como un contrato general para servicios de aseo y cafetería con fecha de inicio del 5 de marzo.
Sin embargo, se observa que durante los primeros meses del año no se evidenció el suministro del servicio de cafetería en las instalaciones, lo que podría afectar la continuidad del servicio esperado por los funcionarios.
Se recomienda al proceso dar continuidad a este tipo de contrataciones, asegurando la prestación oportuna y constante de los servicios, para mantener el orden, la limpieza y el bienestar en las instalaciones de la entidad.</t>
  </si>
  <si>
    <t>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t>
  </si>
  <si>
    <t>Anexar las evidencias de las 18 solicitudes del almacén</t>
  </si>
  <si>
    <t>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t>
  </si>
  <si>
    <t>Revisar cuales serían los inventarios físicos</t>
  </si>
  <si>
    <t>El cronograma de actividades del piga, presenta 8 actividades, de las cuales solo se realizo 1</t>
  </si>
  <si>
    <t>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t>
  </si>
  <si>
    <t>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t>
  </si>
  <si>
    <t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t>
  </si>
  <si>
    <t>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t>
  </si>
  <si>
    <t>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t>
  </si>
  <si>
    <t>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t>
  </si>
  <si>
    <t>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t>
  </si>
  <si>
    <t>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t>
  </si>
  <si>
    <t>Mediante acta No. 1 de Comité Intitucional de Coordinación de Control Interno se aprueba Plan de Auditoría interna para la vigencia 2025, la cual dio inició el 1 de abril /25. 
Se anexa como evidencia el Plan de Auditoría aprobado en comité y programa de auditoría.</t>
  </si>
  <si>
    <r>
      <t xml:space="preserve">Con corte a la fecha se han realizado  los seguimientos respectivos:
- </t>
    </r>
    <r>
      <rPr>
        <b/>
        <sz val="10"/>
        <color theme="1"/>
        <rFont val="Arial"/>
        <family val="2"/>
      </rPr>
      <t>Plan de Mejoramiento vigencia 2022</t>
    </r>
    <r>
      <rPr>
        <sz val="10"/>
        <color theme="1"/>
        <rFont val="Arial"/>
        <family val="2"/>
      </rPr>
      <t xml:space="preserve">. Se remite el informe anual y semestral el 26 de diciembre de 2024, el cual fue cargado como evidencia el anterior trimestre.
- </t>
    </r>
    <r>
      <rPr>
        <b/>
        <sz val="10"/>
        <color theme="1"/>
        <rFont val="Arial"/>
        <family val="2"/>
      </rPr>
      <t>Plan de Mejoramiento vigencia 2023:</t>
    </r>
    <r>
      <rPr>
        <sz val="10"/>
        <color theme="1"/>
        <rFont val="Arial"/>
        <family val="2"/>
      </rPr>
      <t xml:space="preserve"> Fecha limite de Entrega 1er avance: 09 de julio de 2025. 
</t>
    </r>
    <r>
      <rPr>
        <u/>
        <sz val="10"/>
        <color theme="1"/>
        <rFont val="Arial"/>
        <family val="2"/>
      </rPr>
      <t>Para este trimestre no se carga evidencia ya que el seguimiento se realiza en el mes de junio.</t>
    </r>
  </si>
  <si>
    <t>Se han realizado los siguientes informes y se encuentra cargados en la página web: 
https://csc.gov.co/control-interno/
Informe de Software legal 2025
Informe de cierre PQRSDF 2do semestre 2024
Informe austeridad en el gasto cierre 4to trimestre 2024
Informe de evaluación por dependencias.</t>
  </si>
  <si>
    <t>Por parte de la OCI se realizó seguimiento a las acciones correctivas y de mejora durante el mes de febrero 2025, en cada una de las auditorías de la vigencia se comunicará al proceso si se da el cierre a las mismas o si por el contrario continuan abiertas.</t>
  </si>
  <si>
    <t>La actividad no se ha realizado, esta programada para envío en el transcurso del mes de abril 2025</t>
  </si>
  <si>
    <t>Desde la Oficina de Control Interno se viene realizando seguimiento mensual a SIA Observa verificando la rendición a tiempo de los contratos de la vigencia. Se adjunta como evidencia los pantallazos de la verificación realizada.</t>
  </si>
  <si>
    <t>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t>
  </si>
  <si>
    <t>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t>
  </si>
  <si>
    <t>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t>
  </si>
  <si>
    <t>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t>
  </si>
  <si>
    <t>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t>
  </si>
  <si>
    <t>Para el primer trimestre del año 2025, el grupo de planeación realizó una campaña de apropiación de FURAG la cual de manera semanal durante el mes de febrero y marzo a traves de correo electronico se dio conocer las pregutnas más frecuentes sobre el Formulario. Como eviendencias se anexan las ficha publicitarias</t>
  </si>
  <si>
    <t>Durante el primer trimestre de 2025, los Planes Institucionales fueron revisados y consolidados con el propósito de garantizar su coherencia y alineación con los objetivos estratégicos. Estos planes fueron presentados ante el Comité Institucional de Gestión de Desempeño para su aprobación y posterior publicación en la pagina web antes del 31 de enero. Los planes pueden ser consultados en el siguiente enlace  link: https://csc.gov.co/transparencia/. Como evidencia se encuentra el acta del Comité de Gestión y Desempeño</t>
  </si>
  <si>
    <t>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t>
  </si>
  <si>
    <t>Se recibieron 2.217 PQRSDF de las cuales 2.165 se resolvieron dentro de los términos establecidos.Las PQRSDF extemporáneas(52). Igualmente, se respondieron pero posterior a la fecha, debido al fallo informático que presentó el servidor de la página web en el mes de diciembre.</t>
  </si>
  <si>
    <t>Se realizaron 246 encuestas durante los meses de enero, febrero y marzo. Las encuestas se enfocaron en varios aspectos del servicio brindado, incluyendo el tiempo de espera, la claridad de la información proporcionada, la amabilidad del personal y la calidad de las instalaciones.Del total de los encuestados el 76.9% (189) respondieron que la información 
suministrada por el asesor frente al servicio recibido fue clara y oportuna. Quedaron 
muy satisfechos, el 10.6% (26) contestaron haber quedado satisfechos, y solo 
(0.41%) 1 persona quedó muy insatisfecha; el porcentaje restante corresponde a 
personas que no diligenciaron este ítem de la encuesta. Es importante resaltar que 
aunque solo 1 persona quedo insatisfecha, se debe tener presente como una 
oportunidad de mejora frente a la información suministrada por los asesores.</t>
  </si>
  <si>
    <t xml:space="preserve">El compromiso de incrementar la satisfacción y fidelización de nuestros afiliados se materializa a través del cumplimiento del cronograma de trabajo y actividades. A continuación, se detallan las principales acciones realizadas durante los meses de enero, febrero y marzo:
1-Capacitación tipo de clientes
2-Actualizaciones Página web:banners en la página principal,actualización líneas de crédito,publicación de preguntas frecuentes,actualización links de noticias
3-Se realizaron 2 boletines internos
4-Ferias:FERIA EN INSTITUTO DE PROTECCIÓN Y BIENESTAR ANIMAL,FERIA EN LA CORPORACIÓN  AUTÓNOMA REGIONAL,FERIA EN LA LOTERÍA DE CUNDINAMARCA.
5-Publicaciones en redes sociales:PRIMER TRIMESTRE - (ENERO, FEBRERO Y MARZO)
Durante el primer trimestre del año, se desarrollaron y gestionaron un total de 51 publicaciones en redes sociales, con el propósito de fortalecer la visibilidad institucional de la Corporación Social de Cundinamarca. </t>
  </si>
  <si>
    <t>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t>
  </si>
  <si>
    <t>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t>
  </si>
  <si>
    <t>Desde la Oficina de Prensa y Atención al Cliente, teníamos la meta para el primer trimestre de cumplir con 150 afiliaciones, y nos complace anunciar que hemos CUMPLIDO con esa meta, logrando tener 182 afiliaciones.Distribuídas de la siguiente manera:
En enero realizamos 51 afiliaciones.
En febrero realizamos 71 afiliaciones.
En marzo realizamos 60 afiliaciones.</t>
  </si>
  <si>
    <t>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t>
  </si>
  <si>
    <t>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t>
  </si>
  <si>
    <t>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t>
  </si>
  <si>
    <t>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t>
  </si>
  <si>
    <t>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t>
  </si>
  <si>
    <t>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t>
  </si>
  <si>
    <t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t>
  </si>
  <si>
    <t>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t>
  </si>
  <si>
    <t>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t>
  </si>
  <si>
    <t>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t>
  </si>
  <si>
    <t>Para este trimestre, el indicador no presenta medición.
Se sugiere al proceso revisar las recomendaciones y/o actividades pendientes del autodiagnóstico, con el fin de que, en los próximos periodos de medición, se logre mantener o mejorar la calificación obtenida.</t>
  </si>
  <si>
    <t>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t>
  </si>
  <si>
    <t>La Corporación Social de Cundinamarca mejora el Sistema de Gestión de Calidad y asegura si integración con el Modelo Integrado de Planeación y
Gestión del MECI</t>
  </si>
  <si>
    <t>Procesos</t>
  </si>
  <si>
    <t xml:space="preserve">Direccionamiento Estrategico </t>
  </si>
  <si>
    <t>Atención al Cliente</t>
  </si>
  <si>
    <t>Bienestar</t>
  </si>
  <si>
    <t>Gestión Contractual</t>
  </si>
  <si>
    <t>Gestión de la Información</t>
  </si>
  <si>
    <t xml:space="preserve">Gestión de Recursos Físicos </t>
  </si>
  <si>
    <t>Gestión del Talento Humano</t>
  </si>
  <si>
    <t>Gestión Financiera</t>
  </si>
  <si>
    <t>Gestión Jurídica</t>
  </si>
  <si>
    <t xml:space="preserve">Gestion del mejoramiento </t>
  </si>
  <si>
    <t xml:space="preserve">Cumplimiento del Plan de Acción </t>
  </si>
  <si>
    <t>Cumplimiento en % 1er trimestre</t>
  </si>
  <si>
    <t>Cumplimiento en % 2do trimestre</t>
  </si>
  <si>
    <t>Cumplimiento % en 3er trimestre</t>
  </si>
  <si>
    <t>Cumplimiento % en 4to trimestre</t>
  </si>
  <si>
    <t>1 MER TRIM</t>
  </si>
  <si>
    <t>2 DO TRIM</t>
  </si>
  <si>
    <t>3 CER TRIM</t>
  </si>
  <si>
    <t>4 TO TRIM</t>
  </si>
  <si>
    <t>TOTAL PROCESO</t>
  </si>
  <si>
    <t>Plan de acción 2025</t>
  </si>
  <si>
    <t>PROCESO DE DIRECCIONAMIENTO ESTRATEGICO</t>
  </si>
  <si>
    <t>PLANEACIÓN</t>
  </si>
  <si>
    <t xml:space="preserve">Nombre de la actividad </t>
  </si>
  <si>
    <t>1er trimestre</t>
  </si>
  <si>
    <t>2do trimestre</t>
  </si>
  <si>
    <t>3er trimestre</t>
  </si>
  <si>
    <t>4to trimestre</t>
  </si>
  <si>
    <t>Seguimiento 1er trimestre</t>
  </si>
  <si>
    <t>Seguimiento 2do trimestre</t>
  </si>
  <si>
    <t>Seguimiento 3er trimestre</t>
  </si>
  <si>
    <t>Seguimiento 4to trimestre</t>
  </si>
  <si>
    <t>Cumplimiento x trimestre</t>
  </si>
  <si>
    <t>PROCESO DE ATENCIÓN AL CLIENTE</t>
  </si>
  <si>
    <t>PROCESO DE BIENESTAR</t>
  </si>
  <si>
    <t>OBSERVACIONES Y RECOMENDACIONES</t>
  </si>
  <si>
    <t>1er. trimestre</t>
  </si>
  <si>
    <t>2do. trimestre</t>
  </si>
  <si>
    <t>3er. trimestre</t>
  </si>
  <si>
    <t>4to. trimestre</t>
  </si>
  <si>
    <t>Cumplimiento a diciembre del 2025</t>
  </si>
  <si>
    <t>PROCESO DE CRÉDITO Y CARTERA</t>
  </si>
  <si>
    <t>PROCESO DE GESTIÓN CONTRACTUAL</t>
  </si>
  <si>
    <t>PROCESO DE GESTIÓN DE LA INFORMACIÓN</t>
  </si>
  <si>
    <t>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t>
  </si>
  <si>
    <t>PROCESO DE GESTIÓN DE RECURSOS FÍSICOS</t>
  </si>
  <si>
    <t>PROCESO DE GESTIÓN DE TALENTO HUMANO</t>
  </si>
  <si>
    <t>PROCESO DE GESTIÓN FINANCIERA</t>
  </si>
  <si>
    <t>PROCESO DE GESTIÓN JURÍDICA</t>
  </si>
  <si>
    <t>PROCESO DE GESTION DEL MEJORAMIENTO</t>
  </si>
  <si>
    <t>Total al 31 diciembre-2025</t>
  </si>
  <si>
    <t>Crédito</t>
  </si>
  <si>
    <t>Cartera</t>
  </si>
  <si>
    <t>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t>
  </si>
  <si>
    <t>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t>
  </si>
  <si>
    <t>Se efectuaron por los contratistas encargados de apoyo a la supervisión de la Representación Judicial, 1202 procesos consultados en la plataforma de la rama judicial a saber, de la siguiente manera:
Cristian Javier Velandia Urbina 232 Camilo Andrés Ángel Pérez 102 Juan Diego Arias Gómez realizó 418, Mónica Juliana Bohorquez Guisa realizó 104, Claudia Torres realizó 80, Gabriela Garzón 59, Rosmira Barajas realizó 180 y Gloria Cecilia Rodríguez Valencia realizó 27. 
Las evidencias del indicador de la gestión jurídica de las obligaciones pueden ser consultadas en la dirección electrónica del drive BASE UNIFICADA REVISIÓN MENSUAL 2025 - FEBRERO, UNIFICADA REVISIÓN MENSUAL 2025 - MARZO 2025, cuyas bases contiene a su vez las evidencias respectivas</t>
  </si>
  <si>
    <t>Se efectuaron seis (6) sesiones del Comité de Conciliación y Defensa Judicial en las siguientes fechas de las cuales me permito remitir:
Acta No. 1 del 29 de enero del 2025
Acta No. 2 del 31 de enero del 2025
Acta No. 3 del 19 de febrero del 2025
Acta No. 4 del 29 de febrero del 2025
Acta No. 5 del 13 de marzo del 2025
Acta No. 6 del 27 de marzo del 2025
NOTA. El primer informe que ha de entregarse corresponde al periodo comprendido entre el 1 de enero al 30 de junio del 2025, el cual debe ser entregado en julio del 2025 al Comité de Conciliación y Defensa Judicial.</t>
  </si>
  <si>
    <t>Se remite el informe del seguimiento a los desistimientos tacitos
NO APLICA.Se precisa que este informe debe ser entregado semestralmente.</t>
  </si>
  <si>
    <t>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t>
  </si>
  <si>
    <t>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t>
  </si>
  <si>
    <t>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t>
  </si>
  <si>
    <t>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t>
  </si>
  <si>
    <t>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t>
  </si>
  <si>
    <t>CUMPLIMIENTO ACUMULADO PLAN DE ACCION</t>
  </si>
  <si>
    <t>Al finalizar el primer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primer seguimiento del plan de accion se encuenra publicado en la ruta de calidad  con un avance del 17.24%</t>
  </si>
  <si>
    <t>OBSERVACIONES 2 DO. TRIMESTRE (Planeación)</t>
  </si>
  <si>
    <t>Se realizó seguimiento a la plataforma del SUIT, donde se registraron las diferentes PQRS presentadas durante el periodo a los tramites inscritos. Se verifica que la estartegia de racionalizacion quedo actualizada para el trámites de afiliaciones.</t>
  </si>
  <si>
    <t>Se realizó seguimiento a la plataforma del SUIT, donde se registraron las diferentes PQRS presentadas durante el periodo a los tramites inscritos. Se verifica que la estrategia de racionalización quedo actualizada para el trámites de afiliaciones. La oficina de atención al cliente ha realizado la solicitud de actualizar el formulario de afiliaciones, sin embargo estos responden que no es posible, debido a que el contratop con la empresa no genera desarrollos tecnologicos.</t>
  </si>
  <si>
    <r>
      <t xml:space="preserve">Durante el mes de Abril, Mayo y Junio de 2025, fueron diligenciadas </t>
    </r>
    <r>
      <rPr>
        <b/>
        <sz val="10"/>
        <rFont val="Arial"/>
        <family val="2"/>
      </rPr>
      <t>249 encuestas</t>
    </r>
    <r>
      <rPr>
        <sz val="10"/>
        <rFont val="Arial"/>
        <family val="2"/>
      </rPr>
      <t xml:space="preserve">.
</t>
    </r>
    <r>
      <rPr>
        <b/>
        <sz val="10"/>
        <rFont val="Arial"/>
        <family val="2"/>
      </rPr>
      <t>Conclusiones Generales:</t>
    </r>
    <r>
      <rPr>
        <sz val="10"/>
        <rFont val="Arial"/>
        <family val="2"/>
      </rPr>
      <t xml:space="preserve">
1.Información de créditos se posiciona como el servicio más relevante para los afiliados.
2.Asesoría y cancelación de hipoteca muestran un aumento progresivo en su uso.
3.Algunos servicios muestran una utilización muy baja, lo que podría indicar falta de necesidad, visibilidad o accesibilidad.
4.El mes con mayor demanda de servicios en general fue abril, y el mes con mayor concentración en un solo servicio fue mayo (información de créditos).
</t>
    </r>
    <r>
      <rPr>
        <b/>
        <sz val="10"/>
        <rFont val="Arial"/>
        <family val="2"/>
      </rPr>
      <t>Puntos fuertes</t>
    </r>
    <r>
      <rPr>
        <sz val="10"/>
        <rFont val="Arial"/>
        <family val="2"/>
      </rPr>
      <t xml:space="preserve">:
Todos los indicadores presentan niveles de satisfacción del 100% (no hay ninguna respuesta en las categorías aceptable, insatisfecho o muy insatisfecho).
Mejora visible en la percepción de las instalaciones, con ningún caso fuera del rango de satisfacción (a diferencia de abril y mayo).
Mantenimiento del alto nivel de amabilidad y eficiencia por parte del personal asesor.
</t>
    </r>
    <r>
      <rPr>
        <b/>
        <sz val="10"/>
        <rFont val="Arial"/>
        <family val="2"/>
      </rPr>
      <t>CONCLUSIONES</t>
    </r>
    <r>
      <rPr>
        <sz val="10"/>
        <rFont val="Arial"/>
        <family val="2"/>
      </rPr>
      <t xml:space="preserve">:
Junio refleja un nivel de satisfacción general excelente, con un 100% de los usuarios ubicados en las categorías positivas.
La mejora más destacada es en la percepción de las instalaciones y herramientas tecnológicas, donde desaparecen por completo las valoraciones medias o dudosas.
Aunque los resultados son óptimos, se  aplicar acciones para recuperar y mantener un volumen representativo de retroalimentación.
</t>
    </r>
  </si>
  <si>
    <r>
      <t xml:space="preserve">Durante los meses de abril, mayo y junio de 2025, la Corporación Social de Cundinamarca (CSC) realizó un total de </t>
    </r>
    <r>
      <rPr>
        <b/>
        <sz val="10"/>
        <rFont val="Arial"/>
        <family val="2"/>
      </rPr>
      <t>233 nuevas afiliaciones</t>
    </r>
    <r>
      <rPr>
        <sz val="10"/>
        <rFont val="Arial"/>
        <family val="2"/>
      </rPr>
      <t xml:space="preserve">, superando la meta trimestral de 150 reflejando la confianza de los funcionarios públicos en los servicios ofrecidos.
</t>
    </r>
    <r>
      <rPr>
        <b/>
        <sz val="10"/>
        <rFont val="Arial"/>
        <family val="2"/>
      </rPr>
      <t>Abril</t>
    </r>
    <r>
      <rPr>
        <sz val="10"/>
        <rFont val="Arial"/>
        <family val="2"/>
      </rPr>
      <t xml:space="preserve">: Se llevaron a cabo </t>
    </r>
    <r>
      <rPr>
        <b/>
        <sz val="10"/>
        <rFont val="Arial"/>
        <family val="2"/>
      </rPr>
      <t>61 nuevas afiliaciones</t>
    </r>
    <r>
      <rPr>
        <sz val="10"/>
        <rFont val="Arial"/>
        <family val="2"/>
      </rPr>
      <t xml:space="preserve"> desmostrando que la CSC sigue siendo una opción confiable y valorada en la región.
</t>
    </r>
    <r>
      <rPr>
        <b/>
        <sz val="10"/>
        <rFont val="Arial"/>
        <family val="2"/>
      </rPr>
      <t>Mayo</t>
    </r>
    <r>
      <rPr>
        <sz val="10"/>
        <rFont val="Arial"/>
        <family val="2"/>
      </rPr>
      <t xml:space="preserve">: El número  es de </t>
    </r>
    <r>
      <rPr>
        <b/>
        <sz val="10"/>
        <rFont val="Arial"/>
        <family val="2"/>
      </rPr>
      <t>93 nuevas afiliaciones</t>
    </r>
    <r>
      <rPr>
        <sz val="10"/>
        <rFont val="Arial"/>
        <family val="2"/>
      </rPr>
      <t xml:space="preserve"> mostró un crecimiento significativo respecto al mes anterior,debido a los eventos del mes como el día del maestro,Feria realizada  en Chía  y en la Gobernación de Cundinamarca, consolidando la reputación de la CSC como una entidad preferida entre los funcionarios públicos.
</t>
    </r>
    <r>
      <rPr>
        <b/>
        <sz val="10"/>
        <rFont val="Arial"/>
        <family val="2"/>
      </rPr>
      <t>Junio</t>
    </r>
    <r>
      <rPr>
        <sz val="10"/>
        <rFont val="Arial"/>
        <family val="2"/>
      </rPr>
      <t xml:space="preserve">: A pesar de que solo se realizaron </t>
    </r>
    <r>
      <rPr>
        <b/>
        <sz val="10"/>
        <rFont val="Arial"/>
        <family val="2"/>
      </rPr>
      <t>79 afiliaciones</t>
    </r>
    <r>
      <rPr>
        <sz val="10"/>
        <rFont val="Arial"/>
        <family val="2"/>
      </rPr>
      <t>, las ferias de servicios organizadas en este mes permitieron acercar la oferta de la CSC a usuarios actuales y potenciales, impulsando la difusión de sus productos y servicios.</t>
    </r>
  </si>
  <si>
    <r>
      <t xml:space="preserve">Durante el segundo del trimestre del 2025 se radicaron 3.433 PQRSDF que en su totalidad se resolvieron dentro de los términos establecidos.3.430 fueron peticiones,2 quejas y 1 denuncia..
</t>
    </r>
    <r>
      <rPr>
        <b/>
        <sz val="10"/>
        <rFont val="Arial"/>
        <family val="2"/>
      </rPr>
      <t>Abril:</t>
    </r>
    <r>
      <rPr>
        <sz val="10"/>
        <rFont val="Arial"/>
        <family val="2"/>
        <charset val="1"/>
      </rPr>
      <t xml:space="preserve"> Se recibieron </t>
    </r>
    <r>
      <rPr>
        <b/>
        <sz val="10"/>
        <rFont val="Arial"/>
        <family val="2"/>
      </rPr>
      <t>1.099</t>
    </r>
    <r>
      <rPr>
        <sz val="10"/>
        <rFont val="Arial"/>
        <family val="2"/>
        <charset val="1"/>
      </rPr>
      <t xml:space="preserve"> </t>
    </r>
    <r>
      <rPr>
        <b/>
        <sz val="10"/>
        <rFont val="Arial"/>
        <family val="2"/>
      </rPr>
      <t>PQRSDF</t>
    </r>
    <r>
      <rPr>
        <sz val="10"/>
        <rFont val="Arial"/>
        <family val="2"/>
        <charset val="1"/>
      </rPr>
      <t xml:space="preserve">,de las cuales 1.098 fueron peticiones y 1 queja. Los principales canales fueron WhatsApp con </t>
    </r>
    <r>
      <rPr>
        <b/>
        <sz val="10"/>
        <rFont val="Arial"/>
        <family val="2"/>
      </rPr>
      <t>425</t>
    </r>
    <r>
      <rPr>
        <sz val="10"/>
        <rFont val="Arial"/>
        <family val="2"/>
        <charset val="1"/>
      </rPr>
      <t xml:space="preserve"> solicitudes,puntos físicos de atención con </t>
    </r>
    <r>
      <rPr>
        <b/>
        <sz val="10"/>
        <rFont val="Arial"/>
        <family val="2"/>
      </rPr>
      <t>349</t>
    </r>
    <r>
      <rPr>
        <sz val="10"/>
        <rFont val="Arial"/>
        <family val="2"/>
        <charset val="1"/>
      </rPr>
      <t xml:space="preserve"> solicitudes, línea telefónica con </t>
    </r>
    <r>
      <rPr>
        <b/>
        <sz val="10"/>
        <rFont val="Arial"/>
        <family val="2"/>
      </rPr>
      <t>190</t>
    </r>
    <r>
      <rPr>
        <sz val="10"/>
        <rFont val="Arial"/>
        <family val="2"/>
        <charset val="1"/>
      </rPr>
      <t xml:space="preserve"> y correo de notificaciones judiciales con </t>
    </r>
    <r>
      <rPr>
        <b/>
        <sz val="10"/>
        <rFont val="Arial"/>
        <family val="2"/>
      </rPr>
      <t>21</t>
    </r>
    <r>
      <rPr>
        <sz val="10"/>
        <rFont val="Arial"/>
        <family val="2"/>
        <charset val="1"/>
      </rPr>
      <t xml:space="preserve"> y correo de atención al cliente con </t>
    </r>
    <r>
      <rPr>
        <b/>
        <sz val="10"/>
        <rFont val="Arial"/>
        <family val="2"/>
      </rPr>
      <t>98</t>
    </r>
    <r>
      <rPr>
        <sz val="10"/>
        <rFont val="Arial"/>
        <family val="2"/>
        <charset val="1"/>
      </rPr>
      <t xml:space="preserve"> y página web con </t>
    </r>
    <r>
      <rPr>
        <b/>
        <sz val="10"/>
        <rFont val="Arial"/>
        <family val="2"/>
      </rPr>
      <t>16</t>
    </r>
    <r>
      <rPr>
        <sz val="10"/>
        <rFont val="Arial"/>
        <family val="2"/>
        <charset val="1"/>
      </rPr>
      <t xml:space="preserve">.El 92% de las solicitudes correspondieron al área de atención al cliente.
</t>
    </r>
    <r>
      <rPr>
        <b/>
        <sz val="10"/>
        <rFont val="Arial"/>
        <family val="2"/>
      </rPr>
      <t>Mayo</t>
    </r>
    <r>
      <rPr>
        <sz val="10"/>
        <rFont val="Arial"/>
        <family val="2"/>
        <charset val="1"/>
      </rPr>
      <t xml:space="preserve">: Se gestionaron </t>
    </r>
    <r>
      <rPr>
        <b/>
        <sz val="10"/>
        <rFont val="Arial"/>
        <family val="2"/>
      </rPr>
      <t>1.332</t>
    </r>
    <r>
      <rPr>
        <sz val="10"/>
        <rFont val="Arial"/>
        <family val="2"/>
        <charset val="1"/>
      </rPr>
      <t xml:space="preserve"> </t>
    </r>
    <r>
      <rPr>
        <b/>
        <sz val="10"/>
        <rFont val="Arial"/>
        <family val="2"/>
      </rPr>
      <t>PQRSDF</t>
    </r>
    <r>
      <rPr>
        <sz val="10"/>
        <rFont val="Arial"/>
        <family val="2"/>
        <charset val="1"/>
      </rPr>
      <t xml:space="preserve">, de las cuales 1.331 fueron peticiones y 1 queja.El canal más utilizado fue WhatsApp con </t>
    </r>
    <r>
      <rPr>
        <b/>
        <sz val="10"/>
        <rFont val="Arial"/>
        <family val="2"/>
      </rPr>
      <t>504</t>
    </r>
    <r>
      <rPr>
        <sz val="10"/>
        <rFont val="Arial"/>
        <family val="2"/>
        <charset val="1"/>
      </rPr>
      <t xml:space="preserve"> solicitudes, seguido por los puntos físicos de atención con </t>
    </r>
    <r>
      <rPr>
        <b/>
        <sz val="10"/>
        <rFont val="Arial"/>
        <family val="2"/>
      </rPr>
      <t>308</t>
    </r>
    <r>
      <rPr>
        <sz val="10"/>
        <rFont val="Arial"/>
        <family val="2"/>
        <charset val="1"/>
      </rPr>
      <t xml:space="preserve">, correo electrónico con </t>
    </r>
    <r>
      <rPr>
        <b/>
        <sz val="10"/>
        <rFont val="Arial"/>
        <family val="2"/>
      </rPr>
      <t>293</t>
    </r>
    <r>
      <rPr>
        <sz val="10"/>
        <rFont val="Arial"/>
        <family val="2"/>
        <charset val="1"/>
      </rPr>
      <t>, línea telefónica con</t>
    </r>
    <r>
      <rPr>
        <b/>
        <sz val="10"/>
        <rFont val="Arial"/>
        <family val="2"/>
      </rPr>
      <t>185</t>
    </r>
    <r>
      <rPr>
        <sz val="10"/>
        <rFont val="Arial"/>
        <family val="2"/>
        <charset val="1"/>
      </rPr>
      <t xml:space="preserve">, correo de notificacionesjudiciales@csc.gov.co con </t>
    </r>
    <r>
      <rPr>
        <b/>
        <sz val="10"/>
        <rFont val="Arial"/>
        <family val="2"/>
      </rPr>
      <t>30</t>
    </r>
    <r>
      <rPr>
        <sz val="10"/>
        <rFont val="Arial"/>
        <family val="2"/>
        <charset val="1"/>
      </rPr>
      <t xml:space="preserve"> y página web con </t>
    </r>
    <r>
      <rPr>
        <b/>
        <sz val="10"/>
        <rFont val="Arial"/>
        <family val="2"/>
      </rPr>
      <t>12</t>
    </r>
    <r>
      <rPr>
        <sz val="10"/>
        <rFont val="Arial"/>
        <family val="2"/>
        <charset val="1"/>
      </rPr>
      <t xml:space="preserve"> solicitudes. El 87% de las solicitudes fueron gestionadas por el área de atención al cliente, seguido por el área de cartera con un 7%,área jurídica y Subgerencia Administrativa.
</t>
    </r>
    <r>
      <rPr>
        <b/>
        <sz val="10"/>
        <rFont val="Arial"/>
        <family val="2"/>
      </rPr>
      <t>Junio</t>
    </r>
    <r>
      <rPr>
        <sz val="10"/>
        <rFont val="Arial"/>
        <family val="2"/>
        <charset val="1"/>
      </rPr>
      <t xml:space="preserve">: Se radicaron </t>
    </r>
    <r>
      <rPr>
        <b/>
        <sz val="10"/>
        <rFont val="Arial"/>
        <family val="2"/>
      </rPr>
      <t>1.002 PQRSDF</t>
    </r>
    <r>
      <rPr>
        <sz val="10"/>
        <rFont val="Arial"/>
        <family val="2"/>
        <charset val="1"/>
      </rPr>
      <t xml:space="preserve">,de las cuales 1.001 fueron peticiones y 1 denuncia, siendo WhatsApp el canal más utilizado por los afiliados con </t>
    </r>
    <r>
      <rPr>
        <b/>
        <sz val="10"/>
        <rFont val="Arial"/>
        <family val="2"/>
      </rPr>
      <t>372</t>
    </r>
    <r>
      <rPr>
        <sz val="10"/>
        <rFont val="Arial"/>
        <family val="2"/>
        <charset val="1"/>
      </rPr>
      <t>, seguido del correo electrónico con</t>
    </r>
    <r>
      <rPr>
        <b/>
        <sz val="10"/>
        <rFont val="Arial"/>
        <family val="2"/>
      </rPr>
      <t xml:space="preserve"> 211</t>
    </r>
    <r>
      <rPr>
        <sz val="10"/>
        <rFont val="Arial"/>
        <family val="2"/>
        <charset val="1"/>
      </rPr>
      <t xml:space="preserve">, puntos físicos con </t>
    </r>
    <r>
      <rPr>
        <b/>
        <sz val="10"/>
        <rFont val="Arial"/>
        <family val="2"/>
      </rPr>
      <t>192</t>
    </r>
    <r>
      <rPr>
        <sz val="10"/>
        <rFont val="Arial"/>
        <family val="2"/>
        <charset val="1"/>
      </rPr>
      <t xml:space="preserve">, línea telefónica </t>
    </r>
    <r>
      <rPr>
        <b/>
        <sz val="10"/>
        <rFont val="Arial"/>
        <family val="2"/>
      </rPr>
      <t>190</t>
    </r>
    <r>
      <rPr>
        <sz val="10"/>
        <rFont val="Arial"/>
        <family val="2"/>
        <charset val="1"/>
      </rPr>
      <t>, correo noticaciones judiciales con</t>
    </r>
    <r>
      <rPr>
        <b/>
        <sz val="10"/>
        <rFont val="Arial"/>
        <family val="2"/>
      </rPr>
      <t xml:space="preserve"> 24</t>
    </r>
    <r>
      <rPr>
        <sz val="10"/>
        <rFont val="Arial"/>
        <family val="2"/>
        <charset val="1"/>
      </rPr>
      <t xml:space="preserve"> y página web </t>
    </r>
    <r>
      <rPr>
        <b/>
        <sz val="10"/>
        <rFont val="Arial"/>
        <family val="2"/>
      </rPr>
      <t>13</t>
    </r>
    <r>
      <rPr>
        <sz val="10"/>
        <rFont val="Arial"/>
        <family val="2"/>
        <charset val="1"/>
      </rPr>
      <t>. El 86% de las peticiones fueron gestionadas por el área de atención al cliente, seguida por el área de cartera con una participación del 7% y el área jrídica con un 5% de las solcitudes.</t>
    </r>
  </si>
  <si>
    <t xml:space="preserve">En el plan de medios del segundo trimestre de 2025, se plantearon un total de 17 actividades estratégicas orientadas a fortalecer la atención al cliente y consolidar la presencia de la Corporación Social de Cundinamarca (CSC) en la región. De estas actividades, se lograron ejecutar las 17 con éxito durante los meses de abril, mayo y junio, demostrando un firme compromiso con la calidad y eficacia en la gestión de la comunicación y el servicio al cliente.
Las actividades realizadas incluyeron contenido en redes sociales,envío permanente de información por correo y WhatsApp,campañas digitales en redes sociales para posicionar la CSC,comunicados y material fotográfico para enviar a prensa central,envío de piezas comunicativas a los correos de los afiliados,actualización página web,se realiza la evaluación e informe mensual del seguimiento del plan de comunicaciones,seguimiento mensual de PQRSDF. Para el segundo trimestre se realizó el levantamiento de la información correspondiente a cada proceso con los responsables para hacer la actualización y presentar en Comité Institucional para su aprobación,diseño y producción de material digital,para canales informativos,participación en eventos departamentales,capacitaciones.
En este segundo trimestre se realizó el 21 de mayo la capacitación N° 02 con el tema TRABAJO EN EQUIPO y capacitación del valor corporativo,
Para este SEGUNDO TRIMESTRE, se programaron 2 ferias en las siguientes 
entidades:  
• 24 de abril:    CAR de Facatativá. 
• 15 de mayo:  Evento DIA DEL MAESTRO DE CUNDINAMARCA 
• 16 de mayo: Realizada en el municipio de Chía. 
• 27 de mayo: Realizada en la Gobernación de Cundinamarca. 
• 05 de junio: Evento FERIA MUNICIPIO DE SOACHA
Para el segundo trimestre se tienen los Boletines Internos N° 3 _ Mes de Marzo y 
N° 4 Mes de Abril y N°5 Mes de Mayo 
</t>
  </si>
  <si>
    <t>De acuerdo con la evidencia aportada, durante el segundo trimestre del año 2025 el proceso alcanzó un cumplimiento del 69.17%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t>
  </si>
  <si>
    <t>Durante el trimestre se recibieron 3.433 solicitudes, de las cuales 3.431 fueron respondidas en tiempo y 2 se encuentran aún dentro del plazo legal, lo que representa un cumplimiento del 100%. Por lo tanto, el indicador cumple. Se suguere al proceso consolidar una base de datos única y verificable que respalde de forma clara la trazabilidad y cumplimiento del indicador, ya que no se encontró un archivo consolidado que permita validar con certeza la información reportada.</t>
  </si>
  <si>
    <t>El proceso reportó la aplicación de 249 encuestas de satisfacción, de las cuales 245 reflejaron satisfacción con los servicios prestados por la entidad y 4 fueron calificadas como aceptables. El indicador cumple, destacándose que los servicios más solicitados fueron información sobre créditos y asesoría.
Se sugiere al proceso incrementar el número de encuestas aplicadas, recordando que se debe encuestar al 70% de la población atendida para garantizar una muestra representativa y mejorar la toma de decisiones a partir de los resultados.</t>
  </si>
  <si>
    <t>De acuerdo con las evidencias presentadas, el proceso cumplió con las 16 actividades programadas para el trimestre. La actividad relacionada con la actualización del plan de comunicaciones fue descartada del análisis, ya que no correspondía a este periodo y fue cumplida respectivamente. Por lo tanto, el indicador se cumple.
Se sugiere al proceso fortalecer las capacitaciones dirigidas al equipo de trabajo y mejorar la presentación de evidencias, especialmente en lo relacionado con la matriz semaforizada, con el fin de facilitar su análisis y seguimiento.</t>
  </si>
  <si>
    <t>En  el segundo trimestre  de 2025 a través de 17 asesores comerciales se relizaron 316  visitas a 63  municipios del departamento de los 30 programados,  encaminadas a difundir y promocionar el portafolio de servicios de la entidad. Asesorando y tramitando tanto créditos como afiliaciones. Se aclara que las Provincias  de GUAVIO,ALMEIDAS Y ORIENTE, no cuentan con visitas debido a que  aùn  no se ha  contratado comerciales para estas.</t>
  </si>
  <si>
    <t>En el segundo trimestre de 2025  se giraron 5 subsidios educativos,para un total de 37 girados en el semestre de los  49  activos,   teniendo en cuenta que los giros son semestrales y se miden semestralmente. Los 12 no girados corresponden a  2 por  Cese o finalizaciòn del beneficio, 4 por   Pérdida del beneficio 1  en trámite al momento del reporte y 5  No han reclamado aunque se les han enviado correo en dos oportunidades</t>
  </si>
  <si>
    <t>En el segundo trimestre de 2025 se radicaron 366 crèditos,de loscuales  se aprobaron 293 y  desembolsaron los  293 crèditos,  no alacanzando  la meta esperadade 550</t>
  </si>
  <si>
    <t>De los 293 créditos desembolsados durante el  segundo trimestre de 2025, 21 corresponde a crédito de vivienda hipotecarios de los cuales  los 16 fueron desembolsados en un periodo menor a 60 dias Y 5 fueron girados en tiempos superior a  60 dìas.</t>
  </si>
  <si>
    <t>De los 293 créditos desembolsados durante el  segundo trimestre de 2025, 272  corresponde a crédito de consumo de los cuales  los 250 fueron desembolsados en un periodo menor a 30 dias  y 22 fueron girados en tiempo superios a 30 diàs. Las  demoras en los tràmites  de crèditos  se debe en ocasiones  a que se dificulta la comunicaciòn con las pagadurìas y con los afiliados para verificar informaciòn, a que  e presenta  demora en allegar  pagares autenticados y libranzas autorizadas, a que los documentos  llegan ilegibles o incompletos y a la demora en la legalizaciòn de polizas por extraprima</t>
  </si>
  <si>
    <t>En el segundo trimestre de 2025 se beneficiaron 83 afiliados y beneficiarios con conferencias  sobre  Manejo de  estres y ansiedad, Hablemos de Tristeza y Depresiòn y La magia del desacuerdo. Se  entregaron  30 KIT de primeros  auxilios, kit de libros y anchetas  a afiliados y beneficciarios que asistieron cumplidamente a los curso  el a vigenia  2024 , para un total  de 113 beneficiados con actividades de  Bienestar, en este trimestre tambien se firmaron  8 nuevas  alianzas con empresas que ofrecen  descuentos y beneficios especiales para los afiliados  y sus familias tales como: Uniempresarial,EAN,CUN,Universidad Cooperativa de Colombia, Iberoamricana,UNIASTURIAS, UNIGERMANIA,IFESE Tècnicos laborales,Enseñarte primariay bachillerato para adultos.Y se realizaron 413 pre.inscripciones en los diferentes cursos  y diplomados programados para el presente año</t>
  </si>
  <si>
    <t>De acuerdo con las evidencias presentadas, el proceso cumplió con el indicador para el segundo trimestre de 2025, beneficiando a 113 afiliados y beneficiarios mediante diferentes conferencias sobre manejo de estrés y ansiedad, tristeza y depresión, y resolución de conflictos, así como la entrega de kits de primeros auxilios, libros y anchetas. 
Se sugiere al proceso continuar con las actividades de bienestar, fortaleciendo la participación y aprovechando las alianzas establecidas para lograr un mayor impacto y mejores resultados en los próximos periodos.</t>
  </si>
  <si>
    <t>De acuerdo con las evidencias revisadas, el proceso cumplió con el indicador para el segundo trimestre de 2025, visitando 63 municipios del departamento, con respecto a los 30 municipios programados. Las visitas se enfocaron en la difusión y promoción del portafolio de servicios, así como en la asesoría y trámite de créditos y afiliaciones.
Se sugiere programar visitas a los municipios de las provincias de Oriente, Ubaté, parte del Tequendama, Guavio y Almeidas, que no han sido cubiertos, y mantener la presencia institucional en los demás municipios para fortalecer la cobertura y el posicionamiento de la entidad y los servicios prestados.</t>
  </si>
  <si>
    <t>De acuerdo con las evidencias aportadas, se hace necesario ajustar el total de subsidios activos de 49 a 43, de los cuales se desembolsaron 37 durante el primer semestre del año, lo que representa un cumplimiento satisfactorio del indicador. Se sugiere al proceso dar seguimiento a los subsidios pendientes de giro y subir como evidencia los soportes de la pérdida del beneficio de aquellos que lo hayan perdido, para garantizar la trazabilidad de la información y fortalecer el control del indicador.</t>
  </si>
  <si>
    <t>Durante el segundo trimestre de 2025 se desembolsaron 293 créditos por un valor total de $7.333.436.213, frente a una meta de 550 créditos, por lo que el indicador no se cumple.
Se recomienda realizar un análisis de las causas que han impactado la colocación de créditos, implementar estrategias comerciales más agresivas y fortalecer las acciones de promoción y acompañamiento a los afiliados para alcanzar las metas establecidas en los próximos periodos.</t>
  </si>
  <si>
    <t>Durante el segundo trimestre de 2025, el indicador de desembolso de créditos hipotecarios cumple parcialmente, debido a que se desembolsaron 21 créditos hipotecarios, de los cuales 16 fueron girados en un plazo menor a 60 días y 5 en tiempos superiores a 60 días. 
Se sugiere al proceso mejorar la documentación y evidencia que permitan identificar con claridad las causas que dificultaron la entrega oportuna de algunos créditos, con el fin de implementar acciones correctivas y optimizar los tiempos de desembolso.</t>
  </si>
  <si>
    <t>El indicador de desembolso de créditos de consumo cumple parcialmente, ya que durante el segundo trimestre se entregaron oportunamente 250 de los 272 créditos desembolsados, mientras que 22 presentaron demoras en la entrega. Se recomienda fortalecer el registro y documentación de las causas que generan demoras en el desembolso de créditos de consumo, para facilitar la identificación de obstáculos y promover acciones que optimicen los tiempos de entrega.</t>
  </si>
  <si>
    <t>El indicador dio como resultado del segundo trimestre un 34% la oficina Asesora Jurídica debe implentar las acciones necesarias para cumplir con la meta esperada.</t>
  </si>
  <si>
    <t>El indicador dio como resultado del segundo  trimestre un 98,5% , por la gestión que desde la Unidad de cartera y Ahorros se está realizando con las pagadurias.</t>
  </si>
  <si>
    <t>El indicador dio el resultado del 2%, debido a la gestión que se viene desarrollando por parte del personal contratado,   para la gestión del cobro en estado Pre-jurídico.</t>
  </si>
  <si>
    <t>El porcentaje de cartera en estado jurídico para el segundo trimestre fue del 33,6%, superior a la meta esperada del 29%, lo que indica que un número considerable de casos está llegando a instancias legales, dificultando la recuperación efectiva de los recursos. Por lo tanto el indicador no cumple.
Se recomienda al proceso implementar nuevas estrategias de cobro que permitan actuar con mayor anticipación y prevenir que más obligaciones lleguen a esta etapa. Es fundamental revisar y fortalecer las acciones en las etapas previas para mejorar los resultados en los próximos meses y evitar el aumento de la cartera en estado jurídico.</t>
  </si>
  <si>
    <t>El indicador cumple con la meta establecida de realizar los desgloces en más del 95%, reportando un resultado del 98.5% durante el segundo trimestre, lo que evidencia una gestión efectiva en la articulación con las pagadurías.
No obstante, se recomienda continuar avanzando en las acciones necesarias para legalizar los ingresos correspondientes al primer trimestre, especialmente aquellos asociados a las pagadurías de Fosca, Ricaurte, departamento de Cundinamarca y Facatativá.</t>
  </si>
  <si>
    <t>El proceso durante el segundo trimestre reporta un resultado del 2% en la cartera en estado pre-jurídico, cumpliendo con la meta establecida, gracias a la gestión realizada por el personal contratado.
Sin embargo, no se evidencian correos ni documentos que indiquen la estrategia de cobro implementada. Se recomienda que el proceso documente y entregue evidencias claras de las acciones y canales de acercamiento con los deudores, con el fin de fortalecer la gestión y evitar que la cartera avance a estados pre-jurídicos y jurídicos.</t>
  </si>
  <si>
    <t>El proceso muestra un buen resultado durante el segundo trimestre, manteniendo la cartera en estado persuasivo en un 2%, cumpliendo con la meta establecida. La estrategia de comunicación con los deudores mediante correos ha sido efectiva.
Sin embargo, no se evidencian registros de dichos correos. Se recomienda fortalecer la gestión incorporando más canales de contacto, como llamadas o mensajes, para mejorar el seguimiento y dejar constancia documental, con el fin de evitar que los deudores avancen a etapas dificiles de cobro.</t>
  </si>
  <si>
    <r>
      <t xml:space="preserve">Durante el trimestre (Abril, Mayo y Junio), del año 2025 se ha dado cumplimiento al PAA en los siguientes proceso de contratación. 
</t>
    </r>
    <r>
      <rPr>
        <b/>
        <sz val="9"/>
        <rFont val="Arial"/>
        <family val="2"/>
      </rPr>
      <t>1</t>
    </r>
    <r>
      <rPr>
        <sz val="9"/>
        <rFont val="Arial"/>
        <family val="2"/>
      </rPr>
      <t xml:space="preserve">. Servicios profesionales exámenes médicos ocupacionales de ingreso, periódicos de retiro, prueba psicométrica.  25-0006. 
</t>
    </r>
    <r>
      <rPr>
        <b/>
        <sz val="9"/>
        <rFont val="Arial"/>
        <family val="2"/>
      </rPr>
      <t>2</t>
    </r>
    <r>
      <rPr>
        <sz val="9"/>
        <rFont val="Arial"/>
        <family val="2"/>
      </rPr>
      <t xml:space="preserve">. Adquisición e instalación de material publicitarios, marketing, logística, plan de medios y posicionamiento. 25-076 (INMOBILIARIA.)
</t>
    </r>
    <r>
      <rPr>
        <b/>
        <sz val="9"/>
        <rFont val="Arial"/>
        <family val="2"/>
      </rPr>
      <t>3</t>
    </r>
    <r>
      <rPr>
        <sz val="9"/>
        <rFont val="Arial"/>
        <family val="2"/>
      </rPr>
      <t xml:space="preserve">. Mantenimiento de Vehiculos  25-0007                                                                                                                                                                                                                  </t>
    </r>
    <r>
      <rPr>
        <b/>
        <sz val="9"/>
        <rFont val="Arial"/>
        <family val="2"/>
      </rPr>
      <t>4</t>
    </r>
    <r>
      <rPr>
        <sz val="9"/>
        <rFont val="Arial"/>
        <family val="2"/>
      </rPr>
      <t xml:space="preserve">. Licitación Publica 25-001  (SEGUROS)                                                                                                                                                                                                                  </t>
    </r>
    <r>
      <rPr>
        <b/>
        <sz val="9"/>
        <rFont val="Arial"/>
        <family val="2"/>
      </rPr>
      <t>5</t>
    </r>
    <r>
      <rPr>
        <sz val="9"/>
        <rFont val="Arial"/>
        <family val="2"/>
      </rPr>
      <t xml:space="preserve">. Paginas Gmail 25-0010
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dejaran plasmados en el PAA vigencia 2025.  Adicionalmente se adjunta archivo en Excel con la base de datos con la contratación directa que se realizó desde el mes de Abril hasta el 30 de Junio de 2025, Contrato 25-070 hasta el 25-099                           </t>
    </r>
    <r>
      <rPr>
        <b/>
        <sz val="9"/>
        <rFont val="Arial"/>
        <family val="2"/>
      </rPr>
      <t>Nota:</t>
    </r>
    <r>
      <rPr>
        <sz val="9"/>
        <rFont val="Arial"/>
        <family val="2"/>
      </rPr>
      <t xml:space="preserve"> Información que reposa en las carpetas en físico en el archivo de la Oficina de Contratación y en la Red.                                                     </t>
    </r>
    <r>
      <rPr>
        <b/>
        <sz val="9"/>
        <rFont val="Arial"/>
        <family val="2"/>
      </rPr>
      <t>Novedad:</t>
    </r>
    <r>
      <rPr>
        <sz val="9"/>
        <rFont val="Arial"/>
        <family val="2"/>
      </rPr>
      <t xml:space="preserve"> Se realizo rendición de contratos hasta el 25-099 sin el 25-098 devido a que por directriz del supervisor, el contratista inicia ejecucón en el mes de Julio de 2025. </t>
    </r>
  </si>
  <si>
    <r>
      <t xml:space="preserve">El número de cuentas rendidas durante el periodo de Abril a Junio de 2025 en la plataforma de SIA OBSERVA los primeros tres (3) días hábiles del mes correspondiente son:
</t>
    </r>
    <r>
      <rPr>
        <b/>
        <sz val="10"/>
        <rFont val="Arial"/>
        <family val="2"/>
      </rPr>
      <t xml:space="preserve">ABRIL: </t>
    </r>
    <r>
      <rPr>
        <sz val="10"/>
        <rFont val="Arial"/>
        <family val="2"/>
        <charset val="1"/>
      </rPr>
      <t xml:space="preserve">Se rindieron 19 contratos. 
</t>
    </r>
    <r>
      <rPr>
        <b/>
        <sz val="10"/>
        <rFont val="Arial"/>
        <family val="2"/>
      </rPr>
      <t xml:space="preserve">MAYO: </t>
    </r>
    <r>
      <rPr>
        <sz val="10"/>
        <rFont val="Arial"/>
        <family val="2"/>
        <charset val="1"/>
      </rPr>
      <t xml:space="preserve">Se rindieron 08 contratos.
</t>
    </r>
    <r>
      <rPr>
        <b/>
        <sz val="10"/>
        <rFont val="Arial"/>
        <family val="2"/>
      </rPr>
      <t>JUNIO:</t>
    </r>
    <r>
      <rPr>
        <sz val="10"/>
        <rFont val="Arial"/>
        <family val="2"/>
        <charset val="1"/>
      </rPr>
      <t xml:space="preserve">  Se rindieron 05 contratos.
</t>
    </r>
    <r>
      <rPr>
        <b/>
        <sz val="10"/>
        <rFont val="Arial"/>
        <family val="2"/>
      </rPr>
      <t xml:space="preserve">NOTA: </t>
    </r>
    <r>
      <rPr>
        <sz val="10"/>
        <rFont val="Arial"/>
        <family val="2"/>
        <charset val="1"/>
      </rPr>
      <t xml:space="preserve">Se adjunta actas de reunión y constancia de rendición del mes de Abril, Mayo y Junio de 2025.
</t>
    </r>
    <r>
      <rPr>
        <b/>
        <sz val="10"/>
        <rFont val="Arial"/>
        <family val="2"/>
      </rPr>
      <t xml:space="preserve">NOTA 2: </t>
    </r>
    <r>
      <rPr>
        <sz val="10"/>
        <rFont val="Arial"/>
        <family val="2"/>
        <charset val="1"/>
      </rPr>
      <t xml:space="preserve">En la plataforma SIA OBSERVA ya se encuentra termnada lacontratacion de la Vigencia 2024 respectivamente.  </t>
    </r>
  </si>
  <si>
    <t xml:space="preserve">En el segundo trimestre de la vigencia 2025 no se realizaron cierres de contratos porque todos se encuentran en ejecucion. 
</t>
  </si>
  <si>
    <t>Si bien el proceso ha realizado un esfuerzo importante para cumplir con las contrataciones establecidas en el PAA, durante el trimestre se ejecutaron 2 de los 5 contratos programados. Adicionalmente, se evidenció que en junio el proceso realizó seguimiento a los contratos pendientes mediante el envío de correos electrónicos a los procesos responsables, lo que demuestra gestión para avanzar en la ejecución. Entre las contrataciones pendientes se encuentran: Bienestar y capacitación de afiliados; Adquisición de mobiliario; Aplicativo móvil para afiliados y los mencionados en el primer trimestre.
Se recuerda que los contratos de exámenes médicos y mantenimiento de vehículos fueron revisados en el trimestre anterior, y que el proceso de seguros se tiene previsto para el mes de agosto.
Se sugiere al proceso solicitar la actualización del PAA para la vigencia 2025, garantizando que la información refleje el estado real de ejecución y posibles contrataciones a determinado periodo.</t>
  </si>
  <si>
    <t>De acuerdo con las evidencias revisadas, el proceso cumplió parcialmente con el indicador para el segundo trimestre, logrando la rendición de 33 de los 34 contratos, lo que equivale a un 97.05% de cumplimiento. El contrato 068 se rindió de manera extemporánea, mientras que el contrato 0009 con Axa Colpatria no fue reportado debido a que no presenta erogación presupuestal.
Adicionalmente, se evidencia que continúa pendiente el acta de inicio de los contratos 0004 con CIFIN y 0002 con Gran Imagen, lo que puede generar limitaciones en el soporte documental de la gestión contractual.
Se sugiere reforzar el control en la carga oportuna de la información en SIA Observa, así como asegurar la suscripción y archivo de las actas de inicio en todos los contratos, para garantizar el cumplimiento total del indicador y la trazabilidad de los procesos contractuales.</t>
  </si>
  <si>
    <t>Se cumplió con la totalidad de mantenimientos preventivos programados en el cronograma.
Se aprobó la modificacion en el procedimiento de mantenimiento por calidad.</t>
  </si>
  <si>
    <t>Se realizaron 56 soportes a usuarios que se encuentran reportados en el formato de calidad, dando respuesta satisfactoria a la totalidad.</t>
  </si>
  <si>
    <t>Se elaboró el estudio previo para el proceso de contratación según el Plan Anual de Adquisiciones que se encontraba a la fecha por 60 millones;  al realizar revisión se evidenció que esta suma no cubría todas las necesidades de la CSC motivo por el cual se asignó un mayor presupuesto y se encuentra en elaboración el nuevo estudio previo.</t>
  </si>
  <si>
    <t xml:space="preserve">Se realizaron las actividades indicadas en los planes, gestionando la seguridad digital de la CSC mediante la actualizacion de las politicas de seguridad del firewall y el seguimiento a la consola del antivirus Bitdefender. </t>
  </si>
  <si>
    <r>
      <rPr>
        <b/>
        <sz val="10"/>
        <rFont val="Arial"/>
        <family val="2"/>
      </rPr>
      <t xml:space="preserve">Planes y proyectos:
</t>
    </r>
    <r>
      <rPr>
        <sz val="10"/>
        <rFont val="Arial"/>
        <family val="2"/>
      </rPr>
      <t xml:space="preserve">
</t>
    </r>
    <r>
      <rPr>
        <b/>
        <sz val="10"/>
        <rFont val="Arial"/>
        <family val="2"/>
      </rPr>
      <t xml:space="preserve">1. </t>
    </r>
    <r>
      <rPr>
        <sz val="10"/>
        <rFont val="Arial"/>
        <family val="2"/>
      </rPr>
      <t xml:space="preserve">El 19 de mayo de 2025 se expidió la Resolución No. 761 “Por la cual se deroga la Resolución No. 1418 del 03 de marzo de 2013 ‘por la cual se crea el Comité Interno de Archivo de la Corporación Social de Cundinamarca’ y la Resolución No 00014 del 21 de enero del 2025, ‘Que estructura el Comité Interno de Archivo de la Corporación Social de Cundinamarca’”. Mediante este acto administrativo se suspendió la formación del Comité Interno, asignado para hacer seguimiento a las acciones del área de archivo. En espera de que estas sean presentadas y avaladas por el Comité Directivo.
</t>
    </r>
    <r>
      <rPr>
        <b/>
        <sz val="10"/>
        <rFont val="Arial"/>
        <family val="2"/>
      </rPr>
      <t>2.</t>
    </r>
    <r>
      <rPr>
        <sz val="10"/>
        <rFont val="Arial"/>
        <family val="2"/>
      </rPr>
      <t xml:space="preserve"> El 07 de abril de 2025 el contratista asignado por la CSC presentó un documento a la Subgerencia Administrativa, informando la visita realizada al Archivo General de la Nación, donde se ratificó la necesidad y la importancia de un profesional archivista para realizar la actualización de los instrumentos archivísticos de la entidad. En el mes de abril se realizó una auditoria interna, la cual dejó como resultado un hallazgo en relación con la actualización de las Tablas de Retención. La Subgerencia Administrativa y Financiera proyectó el siguiente Plan de Acción a seguir. Se presentará a la Gerencia General de la Entidad una solicitud de la necesidad del profesional o empresa con sus respectivos requisitos de acuerdo con la norma.
</t>
    </r>
    <r>
      <rPr>
        <b/>
        <sz val="10"/>
        <rFont val="Arial"/>
        <family val="2"/>
      </rPr>
      <t xml:space="preserve">3. </t>
    </r>
    <r>
      <rPr>
        <sz val="10"/>
        <rFont val="Arial"/>
        <family val="2"/>
      </rPr>
      <t xml:space="preserve">En el mes de mayo de 2025 ingresaron dos nuevos contratistas auxiliares al área de archivo, quienes han apoyado el avance de recuperación de archivo histórico; a la fecha se ha realizado FUID de 4 cajas, 2.418 registros.
</t>
    </r>
    <r>
      <rPr>
        <b/>
        <sz val="10"/>
        <rFont val="Arial"/>
        <family val="2"/>
      </rPr>
      <t xml:space="preserve">4. </t>
    </r>
    <r>
      <rPr>
        <sz val="10"/>
        <rFont val="Arial"/>
        <family val="2"/>
      </rPr>
      <t xml:space="preserve">Se viene realizando el seguimiento de temperatura de la bóveda a diario, la cual debe estar entre 18 y 23 °C y con una humedad relativa promedio entre 55 y 60%, el 12 de junio se remitió un correo al almacenista general solicitando información con respecto al mantenimiento del deshumidificador, sobre el cual respondió que, la contratación para el mantenimiento de la infraestructura física y otros, se encuentra en proceso con la oficina asesora de contratación.
</t>
    </r>
    <r>
      <rPr>
        <b/>
        <sz val="10"/>
        <rFont val="Arial"/>
        <family val="2"/>
      </rPr>
      <t xml:space="preserve">5. </t>
    </r>
    <r>
      <rPr>
        <sz val="10"/>
        <rFont val="Arial"/>
        <family val="2"/>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
    </r>
    <r>
      <rPr>
        <b/>
        <sz val="10"/>
        <rFont val="Arial"/>
        <family val="2"/>
      </rPr>
      <t xml:space="preserve">6. </t>
    </r>
    <r>
      <rPr>
        <sz val="10"/>
        <rFont val="Arial"/>
        <family val="2"/>
      </rPr>
      <t xml:space="preserve">En el mes de mayo de 2025 ingresaron dos nuevos contratistas auxiliares al área de archivo, quienes han apoyado el avance de recuperación de archivo histórico; a la fecha se ha realizado el cambio de 176 cajas x 200 deterioradas a 58 cajas x 300 nuevas. 
</t>
    </r>
    <r>
      <rPr>
        <b/>
        <sz val="10"/>
        <rFont val="Arial"/>
        <family val="2"/>
      </rPr>
      <t xml:space="preserve">7. </t>
    </r>
    <r>
      <rPr>
        <sz val="10"/>
        <rFont val="Arial"/>
        <family val="2"/>
      </rPr>
      <t>Se realizó un cronograma para brindar 2 capacitaciones de Gestión Documental de manera bimensual con los funcionarios y contratistas de la CSC a lo largo del año, en el mes de abril se realizaron 2 capacitaciones a la cual asistieron un total de 19 funcionarios y contratistas, en el mes de junio se realizaron 2 capacitaciones a la cual asistieron un total de 24 funcionarios y contratistas, adicionalmente el 6 de mayo se realizó una capacitación extraordinaria dirigida a funcionarios y contratistas de las dependencias de Talento Humano y Contratación y el 18 de junio una capacitación exclusiva y detallada para el grupo de Contratos.</t>
    </r>
  </si>
  <si>
    <t>Para el segundo trimestre del año 2025 se tenía programado realizar 4 actividades según el cronograma previsto, del cual se cumplió con una actividad: "Mantener una buena higiene y condiciones ambientales óptimas para el trabajo en la sede principal de la CSC", mediante el contrato de aseo y cafetería Nº 25-0003 con la empresa SERVIASEO S.A.,  los estudios previos para el contrato de mantenimiento de la infraestructura de la CSC se radicó el 16 de mayo del 2025.</t>
  </si>
  <si>
    <t>El 06 de mayo de 2025 se da inicio al contrato 25-0007 con la empresa HYUNDAUTOS S.A.S., se realizan (05) inspecciones preoperativas y mantenimientos a los siguientes vehículos así: OSM114, OHK865, OFK448, OHK864, OFK544 y se anexaron facturas (FTE 22663, FTE 22662, FTE 22661, FTE 22660, FTE 22659), Incluyendo la Revisión Tecnico-Mecánica del Vehículo RENAULT NUEVO MASTER MINIBUS de placa OSM114 con fecha de expedición del 03/06/2025.</t>
  </si>
  <si>
    <t>Para el segundo trimestre del año se recibieron y despacharon satisfactoriamente 9 solicitudes de elementos de Almacén a las dependencias solicitantes. (se anexa reporte de salidas de consumo novasoft)</t>
  </si>
  <si>
    <t>Se llevó a cabo la actualización de los inventarios devolutivos de 55 funcionarios de la entidad en el segundo trimestre del año 2025. (Reporte novasoft)</t>
  </si>
  <si>
    <t>Se realizaron los 3 reportes mensuales en el sistema novasoft donde se verifican las entradas y salidas del Almacén en elementos de consumo y elementos devolutivos del segundo trimestre del año 2025. (Reporte de novasoft)</t>
  </si>
  <si>
    <t>En el segundo trimestre del año 2025 se programaron 5 actividades en el cronograma del piga de las cuales se desarrollaron las 5.</t>
  </si>
  <si>
    <t>Se adelantaron las capacitaciones correspondientes a Novasoft, Elaboración, Aprobación, Evaluación Convalidación de Tablas De Retención DocumentalL(Archivo); Comités institucionales para Socializaciones internas sobre temas de acciones de mejoras.
En lo referente a las capacitaciones en crecimiento verde, Presupuesto y finanzas públicas y MIPG se adelantaron convocatorias y preinscripciopnes para llevar a cabo procedimiento de contratación, con el objeto de adelantar capacitaciones programadas en PIC,</t>
  </si>
  <si>
    <t>Para este segundo trimestre entre abril y junio del 2025 se programaron 17 actividades de las cuales se ejecutaron 14 donde las primeras 12: son COPASST-Investigación de incidentes, COMITÉ DE CONVIVENCIA- Acoso laboral Ley 1010, TRABAJADORES-Prevención enfermedad varicosa, TRABAJADORES- Hábitos y estilos de vida saludable ( motivación), BRIGADISTAS: Riesgos de seguridad de los brigadistas, BRIGADISTAS: Primeros Auxilios Psicológicos,  Aplicación de la vacuna contra la influenza, Semana de la Salud, Talleres de desórdenes musculo-esqueléticos, Afiliación a ARL a Funcionarios y Contratistas De Nuevo Ingreso, Ingresar Ausentismos a la Plataforma Alista,  Reporte de Accidentes Laborales, la actividad 13 marcada como realizada no se requirió, que es Exámenes de Ingreso y Egreso de Funcionarios ya que no hubo ingresos y los que se retiraron desistieron de realizarse los exámenes de egreso y la 14 es, Realización de Inspección de puestos de Trabajo ya que esta actividad solo se haría con unos funcionarios que fueron priorizados por recomendaciones médicas y se lograron hacer en el trimestre anterior. Por otro lado, las siguientes actividades que no se realizaron, son Exámenes médicos ocupacionales periódicos, prueba psicométrica conductor, este se debe cambiar de fecha para poder lograr llevar 1 año de la vinculación de los conductores, otras dos son, COMITÉ DE CONVIVENCIA- resolución de conflictos y TRABAJADORES- Liderazgo y relaciones sociales en el trabajo, estas no se realizaron ya que para la fecha que se tenían planteadas, era la inauguración de Copa Gobernación, la asistencia que se estaba viendo en las actividades era baja y no se quería afectar el alcance e impacto por lo tanto se aplazaron, estas 3 más las realizadas da el total de 17. De acuerdo a lo conversado con planeación se realizará solicitud de modificación de cronograma del Plan para no afectar el correcto cumplimiento del mismo, ya que variables que son difíciles de controlar han variado las fechas de las actividades, pero estas se están logrando ejecutar.</t>
  </si>
  <si>
    <t>El proceso se generó sin  novedades; realizando controles y monitoreos a las novedades mediante correos electrónicos.</t>
  </si>
  <si>
    <t>Las incapacidades registradas corresponden a las recibidas e ingresadas al sistema de acuerdo al cronograma de nómina; se presentan siete incapacidades. Se realiza seguimiento a los trámites mediante la página web de cada EPS.</t>
  </si>
  <si>
    <t>Se verificó la realizacion de las evaluaciones en periodo de prueba de los funcionarios en periodo de prueba LICED BARON PUENTES, JOHAN CAMILO MENDEZ RODRÍGUEZ Y WILMER  DAVIAN QUIROGA CORTÉS.</t>
  </si>
  <si>
    <t>De acuerdo al PAC del año 2025 se tenía programado recaudar ingresos por valor de $12'967.610.282 y se recaudó presupuestalmente la suma de $14'720.021.003, es decir el 114%, de lo proyectado. Lo anterior significa que se cumplió con la meta de recaudo sobrepasando lo presupuestado para el segundo trimestre  del  año 2025.</t>
  </si>
  <si>
    <t>De acuerdo con el PAC del 2025 se tenía programado ejecutar gastos durante el primer trimestre por valor de $12'967.610.282 y se ejecutó la suma de $12'044.753.598 es decir el 92.9% de lo proyectado para este trimestre..</t>
  </si>
  <si>
    <t xml:space="preserve">Se remitieron informes a los entes de control tales como el Chip/Cuipo/CGN/Contraloría Departamental /Secretaría de Hacienda/ requeridos en el segundo trimestre del  2025. Además se realiza la presentación de los impuestos de retención en la fuente (RTE FTE) y retención ICA (RTE ICA) ante la DIAN en los meses correspndientes </t>
  </si>
  <si>
    <t>Las conciliaciones bancarias se realizan mensualmente con fecha de corte al mes inmediatamente anterior en sinergia con el área de tesorería de la Entidad. Sin embargo  a la fecha se esta trabajando en las conciliaciones del mes de Junio.</t>
  </si>
  <si>
    <t>Para el segundo trimetre de 2025, el recaudo se encuentra por debajo de lo presupuestado en 6,47%; para obtener el resultado esperado del 25% en el trimestre, cartera deberá acordar con las pagadurías el reporte a tiempo de lo consignado para que puedan desglosar estos recaudos y poderlos aplicar oportunamente. 
Durante el segundo trimestre de 2025, el recaudo  tesoral  fue de $9'613,192,374 frente a  $12'967,610,282 proyectados en el PAC, lo que representa un cumplimiento del 74,13% y un déficit del 25,87%. Este resultado está por debajo de la meta y se atribuye principalmente a la gestión de cobranza que es muy limitada. Existen créditos hipotecarios principalmente que no han vuelto a pagar desde hace mucho tiempo y las acciones que se deben iniciar contra estos deudores no se ven, o son muy lentas, o en la mayoría de los casos no se han iniciado. Los procesos de cobro deberían ser mas agresivos</t>
  </si>
  <si>
    <t>El porcentaje de gastos ejecutados del 22,28% para el segundo trimestre estuvo muy cerca de alcanzar lo presupuestado, sin embargo el acumulado del semestre, se encuentra muy por debajo de lo proyectado (33,61%), seguramente y dependiendo del recaudo del tercer y cuarto trimestre, el saldo tesoral sea suficiente para lograr la meta programada.
Para el segundo trimestre de 2025, el recaudo de $11.558'785.635.oo, frente a lo proyectado $12.967'610.282.oo, aparentemente está cumpliendo la meta con una diferencia del 11%, pero si miramos los ingresos del mismo periodo nos alejamos de la realidad, el principal objetivo es el de cobro; se debe ser más persuasivos e iniciar procesos más agresivos de recuperación de cartera.</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</si>
  <si>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 Como se puede observar para el trimestre abril-junio las consignaciones por identificar fueron de 212 y al final del periodo solamente quedon 12 sin identificar
El reporte TES-105, nos muestra las consignaciones que quedaron al final del periodo por identificar (12),  es muy importante que los asesores o quienes atienden público informen de manera clara que la identificación de pagos o consignaciones en bancos sean o correspondan al dueño del crédito y no de la persona que hace el proceso, es decir que el núnero de cédula o Nit que debe ir en el volante de consignación debe ser el del beneficiario del crédito para evitar confusiones y el desgaste de identificar dichos recaudos, hasta cuando el deudor llame para averiguar su saldo y este se encuentra en mora.</t>
  </si>
  <si>
    <t>De acuerdo con las evidencias revisadas, el proceso cumplió con el indicador para el segundo trimestre de 2025, realizando 24 mantenimientos preventivos a los equipos de cómputo de la entidad. Estos mantenimientos se llevaron a cabo en los procesos de gerencia, jurídica, planeación, control interno, contratación y gestión financiera.
Se sugiere continuar con la ejecución de los mantenimientos preventivos de acuerdo con el cronograma establecido, manteniendo un seguimiento detallado a los equipos de cómputo de otras áreas que puedan necesitar atención en el siguiente trimestre, con el fin de asegurar la operatividad continua de la infraestructura tecnológica de la entidad.</t>
  </si>
  <si>
    <t>De acuerdo con las evidencias revisadas, el proceso cumplió con el indicador para el segundo trimestre de 2025, con un total de 24 solicitudes de soporte a usuarios, todas ellas gestionadas y atendidas. De estas, 2 están relacionadas con mantenimiento a impresoras, mientras que la mayoría de las solicitudes corresponden a soporte con Novasoft.
Se sugiere revisar la totalidad de las necesidades reportadas, ya que el proceso menciona que se registraron 56 ssoportes a usuarios, pero solo 24 han sido documentadas y tramitadas adecuadamente. Es recomendable establecer un control más riguroso para asegurar que todas las solicitudes sean correctamente documentadas y gestionadas, además de analizar las solicitudes recurrentes de soporte con Novasoft para identificar posibles mejoras o necesidades de capacitación. Igualmente se recomienda continuar con el seguimiento a los equipos de impresión para garantizar su óptimo funcionamiento en el próximo trimestre.</t>
  </si>
  <si>
    <t>De acuerdo con las evidencias revisadas, no se presenta avance en el indicador para el segundo trimestre de 2025, ya que durante este período no se realizaron adquisiciones tecnológicas para la entidad.
Se recomienda priorizar y agilizar el proceso de planificación y adquisición tecnológica para el siguiente trimestre, con el fin de cumplir con los plazos establecidos y asegurar que las necesidades tecnológicas de la entidad sean atendidas a tiempo. Esto permitirá retomar el avance del indicador y evitar retrasos en la mejora de la infraestructura tecnológica.</t>
  </si>
  <si>
    <t>De acuerdo con las evidencias revisadas, el proceso cumplió parcialmente con el indicador para el segundo trimestre de 2025. De las 20 actividades programadas para el semestre, se ejecutaron 7 con éxito, entre ellas la actualización de Novasoft, la gestión de licencias de Gmail, el mantenimiento de impresoras, la actualización de activos de la entidad y el control de riesgos y amenazas en los equipos a través del firewall. Quedan pendientes varias actividades, entre las que se destacan: la política y procedimiento de seguridad de la información, la compra de equipos, el servicio de hosting, la implementación de IPv6 y la documentación de las buenas prácticas de ciberseguridad, entre otras.
Se sugiere priorizar la ejecución de las actividades pendientes, especialmente aquellas relacionadas con la seguridad de la información y la infraestructura tecnológica, para garantizar el cumplimiento del indicador en los siguientes trimestres. Asimismo, es recomendable reforzar el monitoreo de los avances y establecer fechas límite claras para la ejecución de cada actividad, asegurando que no queden pendientes a largo plazo. Igualmente, se recomienda complementar el autodiagnóstico de MinTIC, ya que se encuentra diligenciado de manera incompleta, lo cual limita la identificación precisa de brechas y necesidades en materia de transformación digital y seguridad.</t>
  </si>
  <si>
    <t>De acuerdo con las evidencias revisadas, el proceso cumplió parcialmente con el indicador para el segundo trimestre de 2025, ejecutando 6 de las 7 actividades programadas (equivalente a un 85.7% de cumplimiento). Quedó pendiente la actualización de los instrumentos archivísticos.
Se sugiere al proceso organizar la plantilla de medición de temperatura y humedad, de manera que cada casilla se diligencie claramente y se formalice el formato en el sistema de gestión de calidad. Esta plantilla deberá implementarse tanto en la sede Corporación como en la sede de Archivo Central, garantizando uniformidad en el control de las condiciones de conservación. Asimismo, se recomienda mejorar la presentación de la evidencia del cambio de las unidades de conservación, mostrando un registro comparativo de “antes y después” que permita evidenciar de forma más clara los avances logrados.</t>
  </si>
  <si>
    <t>De acuerdo con las evidencias revisadas, el proceso no cumplió con el indicador para el segundo trimestre de 2025. De las 4 actividades programadas, únicamente se reporta la ejecución de 1 actividad, relacionada con el aseo y mantenimiento de las condiciones de higiene y limpieza de la entidad; sin embargo, esta no cuenta con evidencias que soporten su cumplimiento. En consecuencia, el cumplimiento del plan corresponde a un 25%, lo que se considera incumplimiento del indicador.
Se recomienda al proceso ejecutar las actividades pendientes del plan, especialmente aquellas relacionadas con el lavado de tanques, la revisión de suministros eléctricos e iluminación, y la fumigación de los predios de la CSC, con el fin de garantizar la adecuada conservación y funcionamiento de la infraestructura. Así mismo, se sugiere que todas las actividades ejecutadas cuenten con la respectiva evidencia documental y fotográfica, que permita verificar de manera confiable el cumplimiento de las acciones programadas.</t>
  </si>
  <si>
    <t>De acuerdo con las evidencias revisadas, el proceso cumplió con el indicador para el segundo trimestre de 2025, suscribiendo el contrato No. 5-007 de mantenimiento del parque automotor, con acta de inicio del 6 de mayo de 2025, por un valor de $80 millones. Se evidencia la ejecución de mantenimientos a los 5 vehículos de la entidad, incluyendo la actualización de la revisión técnico-mecánica del vehículo OSM-114, así como cambios de aceite, bombillos, bujías, entre otros aspectos importantes.
Si bien se evidencia el cumplimiento de los mantenimientos programados, no se presentan soportes de las inspecciones preoperativas realizadas por los conductores. Se recomienda fortalecer el control de estas inspecciones, asegurando su registro documental, con el fin de garantizar la trazabilidad y seguridad en la operación del parque automotor.</t>
  </si>
  <si>
    <t>De acuerdo con las evidencias revisadas, el proceso cumplió parcialmente con el indicador para el segundo trimestre de 2025. De las 8 capacitaciones programadas, se realizaron únicamente 3, lo que corresponde a un 37.5% de cumplimiento. Quedan por adelantar las capacitaciones relacionadas con Crecimiento Verde, Protocolos de Atención Ciudadana, Racionalización de Trámites, Presupuestos y Finanzas Públicas, Trabajo en Equipo y MIPG. Así mismo, del primer trimestre aún está pendiente la capacitación sobre Actualización Normativa.
Se recomienda al proceso adelantar las capacitaciones pendientes en los siguientes trimestres, asegurando su desarrollo dentro de los plazos establecidos. Igualmente, se sugiere que en las capacitaciones programadas se busque la mayor participación posible de los funcionarios de la CSC y que los temas abordados sean de interés transversal para toda la entidad, con el fin de fortalecer las competencias institucionales.</t>
  </si>
  <si>
    <t>Se realizó entrega de bonos de cine, los funcionarios que cumplieron años durante este trimestre accedieron al día compensatorio; asi mismo, los interesados accederieon al horario flexible, la sala lactante se encuentra permanentemente en disposición de las usuarias que la requieran, se realizó la conmemoración del Dia del Servidor público articulándonos con la Gobernación de Cundirmaarca y en incentivo se flexibilizó el horario de salida.
En lo referente al incentivo de la bicicleta se encuentra vigente mediante acto administrativo, pero a la fecha no so otorgó como quiera que los funcionarios no usan este medio de transporte para el desplazamiento a la Corporación.
La Corporación se encuentra participando activamente de Copa Gobernación teniendo representación en las diferentes disciplinas que la componen. Para el trimestre la entidad ganó segundo lugar en Bolos.
En lo relacionado con el programa -servimos-, se realizará una ficha gráfica para la divulgación del mismo, cuya socialización se trasladará  para el tercer trimestre 2025.
Se abordaron  temas de derechos humanos, constructores de paz, lenguaje incluyente y cuidado y equidad; mediante el conversatorio "Me cuido para cuidarte". Como acciones para prevenir, detectar y evitar actuaciones discriminatorias y/o trato desigual (jóvenes, mujeres, personas con discapacidad, población LGBTIQ+, entre otros).
Las secretarIas de nuestra entidad fueron homenajeadas en el Club Campestre Bellavista, teniendo un día de recreación, integración y diversión.
En cumplimiento a la Ruta del analisis de datos  . Tranformación Digital, se brindó capacitación Novasoft como herramienta digital de la entidad; por otra parte,  durante una semana se resaltaron de manera didáctica los valores Corporativos.
En lo referente a la caminata ecológica se gestionó la cotización para iniciar proceso de contratación.</t>
  </si>
  <si>
    <t>De acuerdo con las evidencias revisadas, el proceso cumplió parcialmente con el indicador para el segundo trimestre de 2025. De las 17 actividades programadas, se ejecutaron 13, lo que corresponde a un 76,47% de cumplimiento. Quedan por ejecutar las jornadas de aeróbicos, la feria de emprendedores, la caminata ecológica y la actividad de herramientas digitales. Cabe resaltar que la capacitación realizada en Novasoft no corresponde al tema de herramientas digitales establecido en el plan. Adicionalmente el proceso realizo el taller de pre-pensionados el 02 de mayo del 2025 y copa gobernacion actividades del primer trimestre.
Se recomienda al proceso ejecutar las actividades pendientes tanto del primer como del segundo trimestre. Así mismo, se sugiere promover los incentivos existentes, como el uso de la bicicleta, y dar a conocer de manera más amplia el programa Servimos y el programa de incentivos, garantizando que todos los funcionarios de la entidad estén informados y puedan acceder a estos beneficios.</t>
  </si>
  <si>
    <t>De acuerdo con las evidencias revisadas, el proceso cumplió con el indicador para el segundo trimestre de 2025. Durante este periodo se radicaron ante las EPS un total de 7 incapacidades, correspondientes al 100% de las reportadas. Se evidencia que 4 incapacidades fueron canceladas oportunamente por las EPS correspondientes. Sin embargo, aún quedan sin reporte de pago 1 del mes de abril y 2 del mes de junio.
Se recomienda al proceso realizar un seguimiento acumulado a los pagos, incluyendo no solo las incapacidades del trimestre en curso, sino también aquellas de periodos anteriores. Por ejemplo, en el primer trimestre quedó pendiente 1 pago con la EPS Sanitas, del cual el proceso no ha informado si ya fue cancelado o no.</t>
  </si>
  <si>
    <t>Es importante aclarar que la formalización mediante firma no se logró dentro del trimestre debido a temas administrativos y de disponibilidad de los directivos, aspectos que escapan al alcance de Talento Humano. Cabe resaltar que este paso es principalmente de formalidad, ya que los acuerdos fueron construidos de manera participativa, reconocidos por los directivos y los enlaces encargados de su ejecución, quienes iniciaron las actividades incluso antes de que los documentos fueran firmados.
Actualmente, los Acuerdos de Gestión 2025 ya se encuentran firmados y en proceso de ejecución por parte de las áreas responsables.
En cuanto a los acuerdos del segundo semestre de 2024, se informa que no ha sido posible finalizar el proceso de calificación de los directivos  A la fecha, la Dra. Sandra no ha realizado la calificación correspondiente, lo cual impide ponderar los resultados y cargarlos oportunamente a la Ruta de Calidad.
Talento Humano reitera su compromiso con el cumplimiento de este proceso y continuará realizando las gestiones necesarias para avanzar en la formalización y cierre completo de los acuerdos pendientes, dentro de los marcos de acción y tiempos disponibles de los equipos directivos.</t>
  </si>
  <si>
    <t>En respuesta a los resultados de los exámenes médicos ocupacionales y al análisis de riesgos en salud, el área de Talento Humano, junto al equipo SG-SST, formuló el Plan Anual del SG-SST con énfasis en hábitos saludables y salud mental. Este incluye actividades sobre alimentación, ejercicio, hidratación, higiene del sueño, manejo del estrés y primeros auxilios psicológicos.
Además, se diseñó y socializó la Ruta de Atención en Salud Mental, y está en desarrollo un programa integral de promoción y prevención en salud, cuya implementación se prevé para el segundo semestre de 2025.
Para abordar los riesgos psicosociales, se conformó un equipo psicosocial articulado entre SG-SST y el área Clínica, que lidera el análisis y acompañamiento a los trabajadores, con el apoyo del COPASST y el Comité de Convivencia Laboral.
También se ha fortalecido la estrategia de salas amigas de la lactancia, con visitas de verificación exitosas por parte de la Secretaría de Salud. Se señalizó el espacio y se inició el proceso de certificación del responsable. El Plan Anual contempla la divulgación del espacio y capacitaciones en lactancia, con buena participación de las trabajadoras gestantes y lactantes.</t>
  </si>
  <si>
    <t>Para el segundo trimestre de 2025 el indicador no presenta medición. No obstante, se reconoce que el proceso ha adelantado actividades orientadas a implementar las acciones resultantes del autodiagnóstico realizado.
Se recomienda al proceso continuar con la implementación de las actividades proyectadas en el plan, de manera que se logre mejorar y/o mantener los resultados obtenidos en el diagnóstico inicial. Así mismo, tener en cuenta que la próxima medición del autodiágnostico se debe realizar en el cuarto trimestre, por lo que se sugiere ir alistando las evidencias necesarias para su adecuada valoración.</t>
  </si>
  <si>
    <t>De acuerdo con las evidencias presentadas por el proceso, se confirma que los Acuerdos de Gestión para la vigencia 2025 fueron concertados con los directivos y la Gerente de la entidad. Sin embargo, no se evidencian los seguimientos finalizados correspondientes a los Acuerdos de Gestión del año 2024.
Se recomienda al proceso de forma prioritaria adelantar y finalizar las actividades pendientes relacionadas con el seguimiento a los Acuerdos de Gestión 2024, de manera que puedan ser presentados en el siguiente trimestre. Así mismo, se sugiere realizar oportunamente el primer seguimiento de los Acuerdos de la vigencia 2025 y garantizar su publicación tanto de concertación como de seguimientos en la página web de la entidad, con el fin de promover la transparencia y el acceso a la información.</t>
  </si>
  <si>
    <t>De acuerdo con las evidencias reportadas, el proceso registra un recaudo total de $14.720.021.003 frente a una meta proyectada de $12.967.610.882, lo que a primera vista reflejaría el cumplimiento del indicador. Sin embargo, se aclara que de dicho valor, $4.500.000.000 corresponden a una adición presupuestal por excedentes financieros en el mes de junio. En ese sentido, el recaudo real por concepto de capital e intereses asciende a $10.220.021.003, lo que equivale al 78,81% de cumplimiento frente a lo proyectado.
Se recomienda al proceso continuar consolidando y presentando de manera clara la información financiera, diferenciando los recursos por tipo de ingreso y resaltando los avances frente a la meta proyectada, de forma que se facilite la trazabilidad y la toma de decisiones. Adicionalmente, se sugiere emitir oportunamente alertas a la alta gerencia frente al incumplimiento de las metas de recaudo, con el fin de que se puedan adoptar acciones correctivas en los siguientes trimestres.</t>
  </si>
  <si>
    <t>De acuerdo con las evidencias presentadas por el proceso, se revisa que se tenía presupuestado ejecutar $12.967.610.882, de los cuales se apropiaron $12.044.753.597, lo que corresponde a un 92,87% de cumplimiento frente a lo proyectado.
Si bien la ejecución del gasto se ajusta a lo planeado, se evidencia que los ingresos no son suficientes para respaldar en su totalidad las apropiaciones realizadas. Se recomienda al proceso continuar con el seguimiento financiero y emitir las alertas correspondientes a la alta gerencia, de manera que se puedan evaluar medidas que garanticen la sostenibilidad presupuestal.</t>
  </si>
  <si>
    <t>De acuerdo con las evidencias presentadas, el proceso elaboró 16 conciliaciones bancarias de las 17 cuentas activas de la entidad hasta junio, lo que corresponde a un 94,12% de cumplimiento del indicador. Adicionalmente, se evidencia que se adelantaron algunas conciliaciones de cuentas que habían quedado pendientes en el primer trimestre, dándoles el respectivo avance.
Se recomienda al proceso adelantar oportunamente el registro en libros de los diferentes movimientos identificados en las conciliaciones, como los rendimientos financieros, con el fin de evitar retrasos y garantizar que la información contable refleje valores reales y actualizados.</t>
  </si>
  <si>
    <t>De acuerdo con las evidencias aportadas por el proceso de Tesorería, se registraron $9.613.192.374 de ingreso tesoral frente a unos ingresos proyectados de $12.967.610.882, lo que corresponde a un 74,12% de cumplimiento parcial del indicador.
Se recomienda al proceso de Tesorería mantener el seguimiento a los ingresos evitando que nada se quede sin registrar y emitiendo las alertas pertinentes a la alta gerencia frente al incumplimiento de la meta proyectada, con el fin de que se adopten decisiones oportunas que garanticen la sostenibilidad financiera de la entidad.</t>
  </si>
  <si>
    <t>De acuerdo con las evidencias presentadas por el proceso, los egresos tesorales de la entidad durante el trimestre suman $11.558.785.635, frente a un valor proyectado de $12.967.610.882, lo que representa un cumplimiento del 89,14%. Sí cumple, dado que el gasto se encuentra por debajo de lo proyectado.
Si bien los egresos se encuentran ajustados a la planeación, se identifica que los ingresos tesorales son inferiores al gasto ejecutado, lo cual puede generar riesgos de sostenibilidad financiera. Se recomienda al proceso continuar el seguimiento conjunto entre ingresos y egresos, así como generar alertas oportunas a la alta gerencia frente a los posibles desbalances.</t>
  </si>
  <si>
    <t>De acuerdo con el reporte TES-105, al 30 de junio de 2025 el proceso contaba con 12 registros sin identificar. Aunque este reporte es dinámico y va variando, se evidencian 3 registros del periodo anterior que aún no han sido gestionados. A pesar de ello, se permite considerar que el proceso cumple con el indicador.
Aunque esta actividad resulta dispendiosa y demanda tiempo, se recomienda al proceso continuar con la gestión oportuna de estas consignaciones, dado que su identificación contribuye a descongestionar las cuentas, evita el reporte de saldos erróneos a los deudores y mejora la calidad de la información en los estados de cartera. Es importante que se logre la clasificación de los registros correspondientes a los meses de febrero y marzo, por un valor de $500.000.</t>
  </si>
  <si>
    <t xml:space="preserve">Se efectuaron por los contratistas encargados de apoyo a la supervisión de la representación judicial, 2727 consultas de procesos en la plataforma de la Rama Judicial: 
Ana María Robayo realizó 107 consultas en la plataforma de la rama judicial
Cristian Javier Velandia Urbina realizó 884 consultas en la plataforma de la rama judicial
Mónica Juliana Bohórquez Guisa realizó 848 consultas en la plataforma de la rama judicial 
Claudia Torres realizó realizó 121 consultas en la plataforma de la rama judicial
Gabriela Garzón realizó realizó 533 consultas en la plataforma de la rama judicial 
Luisa Lorena Cubillos realizó 204 consultas en la plataforma de la rama judicial
Marisol Angarita realizó 20 consultas en la plataforma de la rama judicial
Rafael Fajardo realizó 10 consultas en la plataforma de la rama judicial
Jon Mejía realizó 10 consultas en la plataforma de la rama judicial
Las evidencias del indicador de la gestión jurídica de los procesos pueden ser consultadas en la dirección electrónica del drive REVISION ESTADO DE PROCESOS ABRIL, MAYO Y JUNIO del 2025, cuyas bases contiene a su vez las evidencias respectivas, quien tiene acceso el doctor Carlos Francisco Buitrago, asesor de gerencia. </t>
  </si>
  <si>
    <t xml:space="preserve">Se efectuaron seis (6) sesiones del Comité de Conciliación y Defensa Judicial en el primer trimestre del 2025 (enero a marzo) y seis (6) sesiones en el segundo trimestre del 2025 (abril a junio).
Acta No. 1 del Comité de Conciliación y Defensa Judicial del 29 de enero del 2025
Acta No. 2 del Comité de Conciliación y Defensa Judicial del 31 de enero del 2025
Acta No. 3 del Comité de Conciliación y Defensa Judicial del 19 de febrero del 2025
Acta No. 4 del Comité de Conciliación y Defensa Judicial del 29 de febrero del 2025
Acta No. 5 del Comité de Conciliación y Defensa Judicial del 13 de marzo del 2025
Acta No. 6 del Comité de Conciliación y Defensa Judicial del 27 de marzo del 2025
Acta No. 7 del Comité de Conciliación y Defensa Judicial del 24 de abril del 2025
Acta No. 8 del Comité de Conciliación y Defensa Judicial del 30 de abril del 2025
Acta No. 9 del Comité de Conciliación y Defensa Judicial del 20 de mayo del 2025
Acta No.10 del Comité de Conciliación y Defensa Judicial del 28 de mayo del 2025
Acta No. 11 del Comité de Conciliación y Defensa Judicial del 4 de junio del 2025
Acta No.12 del Comité de Conciliación y Defensa Judicial del 11 de junio del 2025
NOTA. El primer informe de las sesiones del Comité de Conciliación y Defensa Judicial corresponde al periodo comprendido entre el 1 de enero al 30 de junio del 2025, fue enviado a la oficina de planeación con destino al Doctor Carlos Francisco Buitrago Forero. </t>
  </si>
  <si>
    <r>
      <rPr>
        <sz val="10"/>
        <rFont val="Arial"/>
        <family val="2"/>
      </rPr>
      <t xml:space="preserve"> Se remite informe del seguimiento y control a los procesos en los cuales se decretó el desistimiento tácito. </t>
    </r>
    <r>
      <rPr>
        <b/>
        <u/>
        <sz val="10"/>
        <rFont val="Arial"/>
        <family val="2"/>
      </rPr>
      <t xml:space="preserve">
</t>
    </r>
  </si>
  <si>
    <t>Durante el segundo trimestre de la vigencia 2025, se cumplió con la ejecución del Plan Anual de Auditorías Internas aprobado mediante el Acta No. 1 del Comité Institucional de Coordinación de Control Interno. En cumplimiento del cronograma establecido, se realizaron las 11 auditorías programadas, abarcando la totalidad de los procesos definidos en el plan.
Como evidencia del cumplimiento de esta actividad, se adjuntan los informes finales emitidos por cada auditoría, los cuales contienen los resultados, hallazgos, recomendaciones y demás aspectos evaluados en cada proceso auditado.</t>
  </si>
  <si>
    <t>Respecto al Plan de Mejoramiento vigencia 2022, el informe anual y semestral fue remitido el 26 de diciembre de 2024, y ambos documentos fueron cargados como evidencia en el seguimiento correspondiente al cuarto trimestre de 2024.
En cuanto al Plan de Mejoramiento vigencia 2023, tal como se indicó en el seguimiento anterior, la entrega del primer avance está proyectada para el 9 de julio de 2025, conforme a los términos y plazos establecidos en la Resolución 0278 del 25 de mayo de 2021. No obstante, se adjuntan los correos de seguimiento y las solicitudes de información remitidas, con el fin de consolidar los entregables y emitir el respectivo seguimiento al corte definido en dicha resolución.</t>
  </si>
  <si>
    <t>Se han realizado los siguientes informes y se encuentra cargados en la página web: 
https://csc.gov.co/control-interno/
Informe Pormenorizado 1er Semestre 2024
Informe Pormenorizado 2do Semestre 2024
Informe de Austeridad en el Gasto 1er trimestre 2025</t>
  </si>
  <si>
    <r>
      <t xml:space="preserve">Seguimiento a No Conformidades y Observaciones al corte del segundo Trimestre 2025
</t>
    </r>
    <r>
      <rPr>
        <b/>
        <sz val="10"/>
        <rFont val="Arial"/>
        <family val="2"/>
      </rPr>
      <t>Proceso de Atención al Cliente:</t>
    </r>
    <r>
      <rPr>
        <sz val="10"/>
        <rFont val="Arial"/>
        <family val="2"/>
        <charset val="1"/>
      </rPr>
      <t xml:space="preserve">
Las dos no conformidades identificadas en este proceso continúan abiertas y registradas en el archivo de seguimiento “SEGUIMIENTO – ACCIONES CORRECTIVAS Y DE MEJORA 2024 (Vigencia auditada 2023)”, dado que, en la auditoría realizada en 2025 (vigencia auditada 2024), ambas no conformidades persisten en el informe emitido. Por tanto, se continuará el respectivo seguimiento en el archivo “SEGUIMIENTO – ACCIONES CORRECTIVAS Y DE MEJORA 2025 (Vigencia auditada 2024)”. Se adjuntan los correos de retroalimentación sobre las acciones de mejora propuestas, así como su aprobación y notificación para seguimiento, conforme a los tiempos estipulados en la actualización del procedimiento CSC-GM-PR-02 – Auditorías Internas.
</t>
    </r>
    <r>
      <rPr>
        <b/>
        <sz val="10"/>
        <rFont val="Arial"/>
        <family val="2"/>
      </rPr>
      <t>Proceso de Gestión Jurídica:</t>
    </r>
    <r>
      <rPr>
        <sz val="10"/>
        <rFont val="Arial"/>
        <family val="2"/>
        <charset val="1"/>
      </rPr>
      <t xml:space="preserve">
La no conformidad asociada a este proceso se actualiza en el archivo de seguimiento y se marca como cerrada, toda vez que se evidenció que el área de Contratación, mediante correo del 1 de marzo de 2025, remitió a la Oficina de Planeación la solicitud de inclusión del documento “Formato de Verificación del Proceso”. Esta medida se implementará antes de la suscripción del acta de terminación, con el fin de asegurar la verificación integral del proceso contractual, incluyendo la revisión de firmas, cumplimiento de la Ley General de Archivos, publicaciones y demás requisitos normativos. Con base en lo anterior, el equipo auditor procede al cierre de la no conformidad, adjuntando el archivo correspondiente con su estado actualizado.
</t>
    </r>
    <r>
      <rPr>
        <b/>
        <sz val="10"/>
        <rFont val="Arial"/>
        <family val="2"/>
      </rPr>
      <t>Proceso de Direccionamiento Estratégico:</t>
    </r>
    <r>
      <rPr>
        <sz val="10"/>
        <rFont val="Arial"/>
        <family val="2"/>
        <charset val="1"/>
      </rPr>
      <t xml:space="preserve">
La no conformidad identificada en este proceso se mantiene abierta dentro del archivo “SEGUIMIENTO – ACCIONES CORRECTIVAS Y DE MEJORA 2024 (Vigencia auditada 2023)”, ya que en la auditoría realizada en 2025 (vigencia auditada 2024), esta persiste en el informe. El seguimiento continuará a través del archivo correspondiente a la vigencia 2025. Se adjunta el correo enviado al proceso, en el cual se está a la espera de la recepción de las acciones correctivas formuladas por el área responsable.
</t>
    </r>
    <r>
      <rPr>
        <b/>
        <sz val="10"/>
        <rFont val="Arial"/>
        <family val="2"/>
      </rPr>
      <t>Proceso de Gestión Contractual – Observación:</t>
    </r>
    <r>
      <rPr>
        <sz val="10"/>
        <rFont val="Arial"/>
        <family val="2"/>
        <charset val="1"/>
      </rPr>
      <t xml:space="preserve">
La observación realizada a este proceso continúa abierta y será objeto de seguimiento durante la vigencia 2025. Se verificó que la caracterización del proceso disponible en la Ruta de la Calidad fue aprobada mediante el Acta N.º 026 del 11 de septiembre de 2023. No obstante, el equipo auditor evidenció que dicha caracterización no ha sido actualizada, por lo que la observación permanece vigente en espera de los ajustes requeridos que reflejen fielmente la realidad operativa del proceso.
</t>
    </r>
    <r>
      <rPr>
        <b/>
        <sz val="10"/>
        <rFont val="Arial"/>
        <family val="2"/>
      </rPr>
      <t>Proceso de Bienestar – Observación:</t>
    </r>
    <r>
      <rPr>
        <sz val="10"/>
        <rFont val="Arial"/>
        <family val="2"/>
        <charset val="1"/>
      </rPr>
      <t xml:space="preserve">
En cuanto a la observación realizada al proceso de Bienestar, se mantienen abiertas las dos actividades asociadas, por lo que se continuará su seguimiento durante el tercer trimestre de 2025, con el fin de verificar el cumplimiento de los compromisos establecidos.
En ese sentido, y en términos del indicador, se mantienen abiertos cinco hallazgos, distribuidos de la siguiente manera: tres no conformidades correspondientes a los procesos de Atención al Cliente y Direccionamiento Estratégico, y dos observaciones asociadas a los procesos de Gestión Contractual y Bienestar.</t>
    </r>
  </si>
  <si>
    <t>Se adjuntan las dos campañas de autocontrol realizadas durante el primer semestre de 2025.</t>
  </si>
  <si>
    <t>El proceso cumple con el indicador, toda vez que, de acuerdo con el programa, se habían proyectado 11 auditorías y se ejecutaron en su totalidad durante el trimestre (100% de cumplimiento). Como evidencia se presentan los informes finales de cada una de las auditorías realizadas, los cuales ya fueron socializados con los responsables de los procesos auditados.
Se sugiere al proceso consolidar los hallazgos y observaciones identificadas en las auditorías con el fin de generar un análisis comparativo que permita identificar tendencias y priorizar acciones de mejora transversales para la entidad.</t>
  </si>
  <si>
    <t>No se realiza seguimiento al indicador en el presente trimestre, toda vez que el informe de seguimiento al Plan de Mejoramiento 2023 se presentará en el siguiente trimestre. Se evidencia que el proceso ha venido adelantando actividades de consolidación de evidencias para dicho informe.
Se sugiere al proceso verificar la eficacia de las acciones implementadas por los procesos, de manera que el informe a presentar contenga un análisis efectivo y permita evaluar el impacto real de cada acción del Plan de Mejoramiento.</t>
  </si>
  <si>
    <t>De acuerdo con la revisión realizada en la página web de la entidad, en la pestaña de Control Interno, de los cinco informes que deben estar publicados se encuentran únicamente dos (Plan Anticorrupción primer cuatrimestre y Matriz de Riesgos primer cuatrimestre), lo que representa un cumplimiento del 40%. Por lo tanto, el proceso no cumple con el indicador para el segundo trimestre de 2025. Hacen falta el Informe Semestral de PQRS, el Informe de Austeridad del Gasto – Segundo Trimestre 2025 y el Informe Pormenorizado – Primer Semestre 2025. Se evidencia que el proceso corrigió y publicó los informes pendientes del primer trimestre, los cuales se validan como cumplimiento. Se recomienda al proceso reorganizar la pestaña de Control Interno en la página web, ya que actualmente no es clara, y avanzar en la publicación de los informes faltantes, así como actualizar los documentos históricos, considerando que los planes de mejoramiento publicados solo llegan hasta el año 2021.</t>
  </si>
  <si>
    <t>De acuerdo con las evidencias aportadas por el proceso, de los 23 hallazgos encontrados durante las auditorías de 2024, se realizó seguimiento a 19 de ellos. Sin embargo, 4 hallazgos no cuentan con trazabilidad en la información presentada. De los 19 hallazgos gestionados, 14 fueron cerrados durante las auditorías de 2025, lo que evidencia un avance parcial en la gestión. Se recomienda al proceso elaborar un consolidado con los resultados de la auditoría 2025 y su respectiva proyección de seguimiento. Adicionalmente, se solicita notificar el estado de las acciones implementadas frente a los 4 hallazgos de control interno de la auditoria 2024, con el fin de establecer con claridad si se encuentran cerrados o permanecen abiertos. Así mismo, se sugiere formalizar el formato de seguimiento en el Sistema de Gestión de la Calidad, dado que constituye una herramienta valiosa para verificar el estado de cada acción y facilitar la trazabilidad de la información.</t>
  </si>
  <si>
    <t>De acuerdo con las evidencias, el proceso gestionó 2 campañas de autocontrol durante el segundo trimestre de 2025: la primera, dirigida a funcionarios mediante correo electrónico el 25 de mayo, con tema “Gestión de riesgos”, y la segunda el 25 de junio, enfocada en los riesgos de corrupción. Con estas acciones se cumple con el indicador del trimestre.
Se recomienda al proceso hacer extensiva la socialización de las campañas también a los contratistas, con el fin de fortalecer la cultura de autocontrol en toda la entidad. Así mismo, se sugiere mantener la elaboración de mínimo una campaña por trimestre para garantizar la continuidad de estas acciones.</t>
  </si>
  <si>
    <t>De acuerdo con las evidencias aportadas, el proceso realizó 1 seguimiento mensual a la rendición de la contratación en la plataforma SIA Observa durante el segundo trimestre de 2025, dando cumplimiento al indicador.
Se recomienda que en las revisiones no solo se verifique el cumplimiento en los tiempos de rendición, sino también que se evalúe si la información requerida para cada contrato fue cargada de manera completa y oportuna. Esto con el fin de evitar demoras recurrentes en el proceso asociadas a la falta de cargue total de la información contractual.</t>
  </si>
  <si>
    <t>Para el segundo trimestre de 2025 de diligenció el Formulario FURAG, para esta acción desde el equipo de planeación a traves de correo electronico se remitieron a los diferentes lideres de las politicas los cuestionarios correspondientes para que sean atendidos dando instrucciones claras en el diligenciamiento y cargue de evidencias en la ruta de la Calidad. Se diligenció en tu totalidad el día 21 de abril.</t>
  </si>
  <si>
    <t>Para el segundo trimestre de 2025, se realizó el seguimiento al Plan Anticorrupción correspondiente al primer cuatrimestre; para lo anterior se remitió solicitud de información a las direfrentes areas que tiene activades en plan mencionado. Ahora para el primer segimiento semestral de los demas planes institucionales se tomaron como evidencias las actividades cargadas en primer y segundo trimestre del plan de acción teniendo en cuenta que dentro de los indicadores esta el cumplimiento a las actividades programadas en los direfrentes planes.</t>
  </si>
  <si>
    <t>Para el segundo trimestre de 2025 el indicador no presenta medición, debido a que el cuestionario del FURAG fue presentado el 21 de abril para su posterior evaluación.
Se evidencia que el proceso realizó acompañamiento a los líderes de cada política para garantizar el correcto cargue de evidencias y respuestas en el cuestionario. Se recomienda continuar con este acompañamiento y realizar seguimiento a los resultados una vez sean publicados, con el fin de identificar oportunidades de mejora.</t>
  </si>
  <si>
    <t>De acuerdo con las evidencias aportadas, el proceso tiene actualizada la información en el SUIT para cada uno de los trámites, lo que permite concluir que el indicador cumple con lo establecido para el segundo trimestre de 2025. Durante este periodo se presentaron 233 solicitudes y 85 PQRs en el trámite de afiliaciones, 21 solicitudes y 15 PQRs en trámites hipotecarios, y 272 solicitudes y 6 PQRs en trámites no hipotecarios. En cuanto al seguimiento de la estrategia, se evidenció que se encuentra abierta una acción relacionada con el trámite de afiliaciones, sin novedades reportadas. Se recomienda al proceso mantener actualizada la información en el SUIT y continuar con el seguimiento de la estrategia de racionalización, garantizando la atención oportuna de las solicitudes y PQRs.</t>
  </si>
  <si>
    <t>De acuerdo con las evidencias aportadas, el proceso realizó seguimiento a los 12 planes institucionales, los cuales obtuvieron un avance consolidado del 38% en el primer semestre, con lo cual se cumple el indicador de seguimiento a los planes. Se observa que los planes de sistemas no presentan avances, el plan de capacitaciones registra un avance del 16% y los demás planes presentan progresos que oscilan entre el 40% y el 80%. Se sugiere al proceso brindar acompañamiento a aquellos responsables que no han iniciado la implementación de actividades, con el fin de fortalecer la gestión y garantizar un desarrollo equilibrado de todos los planes institucionales.</t>
  </si>
  <si>
    <t>De acuerdo con las evidencias suministradas por el proceso, se observa que se entregan la mayoría de los elementos solicitados por los procesos y se realiza el respectivo seguimiento a la entrega, por lo cual el indicador se cumple. Sin embargo, se recomienda al proceso actualizar el formato, eliminando aquellos elementos que no se encuentran en inventario y organizando una lista de los que presentan escasez, con el fin de priorizar su adquisición y garantizar la disponibilidad oportuna.</t>
  </si>
  <si>
    <t>De acuerdo con las evidencias presentadas por el proceso, se constata que se realizó el inventario de 55 funcionarios activos al 30 de junio, cumpliendo con el indicador. No obstante, se recomienda al proceso organizar y reubicar los elementos que algunos funcionarios reportaron no tener bajo su custodia, así como recopilar las firmas de todos los funcionarios. Adicionalmente, para la próxima actualización se sugiere que las evidencias se presenten en su totalidad y no mediante muestras, con el fin de garantizar un control más completo y confiable.</t>
  </si>
  <si>
    <t>De acuerdo con las evidencias, el proceso cumple con el indicador al presentar informes mensuales de inventarios devolutivos y de consumo generados en Novasoft; sin embargo, no se logra verificar la concordancia entre el inventario reportado y el inventario físico real. Esto puede generar una brecha en la confiabilidad de la información registrada, lo que limita la validación de la información. Se recomienda al proceso mejorar las evidencias en el próximo trimestre o ajustar el indicador para que mida de manera realista la gestión de inventarios y no únicamente la generación de reportes.</t>
  </si>
  <si>
    <t>De acuerdo con las evidencias presentadas, de las 5 actividades programadas en el PIGA el proceso solo aportó evidencia de 1, correspondiente a la campaña de buenas prácticas ambientales, quedando pendientes las relacionadas con el uso eficiente del agua y ahorro, uso eficiente de energía, gestión integral de residuos sólidos y condiciones ambientales. El avance corresponde al 20% (1/5), por lo que no se cumple con el indicador. Se recomienda al proceso fortalecer la planeación y ejecución de las actividades ambientales faltantes, garantizando el cumplimiento oportuno de lo programado y una mejor consolidación de evidencias que respalden los avances.</t>
  </si>
  <si>
    <t>De acuerdo con las evidencias presentadas, el proceso cumple con el indicador, ya que se tenían programados 8 informes correspondientes a los reportes departamentales, nacionales, impuestos y estampillas, y se presentaron en su totalidad los 8 (100% de cumplimiento). Se recomienda al proceso mantener esta dinámica de gestión y asegurar que los informes continúen siendo entregados dentro de los plazos establecidos, garantizando la oportunidad y calidad de la información reportada.</t>
  </si>
  <si>
    <t>De acuerdo con las evidencias aportadas, el proceso realizó 11 de las 17 actividades programadas, alcanzando un cumplimiento del 64,7% durante el trimestre. Quedaron pendientes actividades como los exámenes periódicos, inspección en los puestos de trabajo, algunas capacitaciones para brigadistas y el comité de convivencia. Se recomienda al proceso fortalecer la ejecución de las actividades faltantes y complementar las todas las evidencias con registros de asistencia y los temas tratados, con el fin de garantizar una trazabilidad completa y mejorar la gestión en los próximos trimestres.</t>
  </si>
  <si>
    <t>Para el presente trimestre el indicador no presenta medición, toda vez que su periodicidad es semestral. No obstante, el proceso reportó de manera transitoria las evaluaciones de periodo de prueba de los funcionarios Liced Barón, Wilmer Quiroga y Camilo Méndez, las cuales fueron realizadas por su respectivo jefe y cuentan con las evidencias correspondientes.
Se sugiere al proceso consolidar estas evaluaciones en un informe único y mantenerlas como evidencia complementaria, de manera que en la próxima medición semestral se cuente con un registro organizado y trazable.</t>
  </si>
  <si>
    <t>De acuerdo con las evidencias aportadas, el proceso elaboró un informe semestral sobre las decisiones tomadas en las reuniones del comité; sin embargo, a la fecha dicho informe no ha sido aprobado por el mismo comité, por lo cual el indicador no se cumple. Se recomienda al proceso que para el siguiente trimestre se aporte el acta donde conste la aprobación del informe, y que en el mismo se incluyan conclusiones claras, así como las actividades pendientes que surjan de las reuniones.</t>
  </si>
  <si>
    <t>De acuerdo con las evidencias aportadas, el proceso revisó 2.047 expedientes correspondientes a Bogotá, superando el número de procesos activos debido a que algunos expedientes fueron revisados en varias oportunidades según la necesidad. Aunque en apariencia el indicador se cumple, se identifica que cerca de 500 procesos del Departamento no están siendo atendidos. Se recomienda al proceso elaborar un plan que le permita llegar a los municipios y garantizar el seguimiento de aquellos casos que aún no han sido revisados, así como revisar y actualizar el indicador para que permita medir de manera real la gestión del proceso y el avance en el cobro de la cartera en estado jurídico.</t>
  </si>
  <si>
    <t>De acuerdo con las evidencias presentadas, el proceso realiza seguimiento a 1.044 procesos activos en la ciudad de Bogotá; sin embargo, durante el trimestre se presentaron 16 desistimientos, lo que indica que el indicador no se cumple, dado que no deben registrarse desistimientos. Adicionalmente, se evidencian procesos activos en los municipios cuyo estado no ha sido revisado. Se recomienda al proceso implementar un sistema de seguimiento en línea que le permita ser más eficiente, o en su defecto, generar nuevas estrategias que faciliten el control oportuno de todos los procesos, tanto en Bogotá como en los municipios del Departamento.</t>
  </si>
  <si>
    <t xml:space="preserve">El indicador cumple con lo establecido, ya que se evidencia que se realizó el seguimiento al Plan de Acción de la entidad correspondiente al segundo trimestre de 2025, cuyo avance total fue del 39.77%.
Se sugiere al proceso realizar el seguimiento en una fecha más cercana al cierre del periodo, con el fin de socializar oportunamente los resultados con los procesos y permitir que, de ser necesario, se realicen los ajustes pertinentes para los siguientes trimestres. </t>
  </si>
  <si>
    <t>De acuerdo con las evidencias revisadas, durante el segundo trimestre de 2025 no se presenta avance en el indicador, toda vez que no se realizaron evaluaciones de proveedores. El proceso manifiesta que no hubo cierres de contratos en el período; sin embargo, en las evidencias se observa que el contrato con Gmail finalizó en junio, y que el contrato 072 presentó cierre anticipado.
Si bien aún se cuenta con plazo para efectuar la reevaluación, se sugiere adelantar estas actividades en el siguiente trimestre con el fin de garantizar la oportunidad y calidad en el seguimiento a los contratistas y proveedores, asegurando así la mejora continua en la gestión contractual.</t>
  </si>
  <si>
    <t>OBSERVACIONES 3 CER. TRIMESTRE (Planeación)</t>
  </si>
  <si>
    <t>OBSERVACIONES 3 CER. TRIMESTRE (Cada Proceso)</t>
  </si>
  <si>
    <t>El indicador correspondiente al tercer trimestre arrojó un resultado del 33%, lo que representa una disminución del 1% respecto al periodo anterior. Esta variación se atribuye a la implementación del programa de alivio financiero establecido mediante la Resolución 01187 de 2025. En consecuencia, la Oficina Asesora Jurídica deberá continuar con las acciones necesarias para cumplir con la meta establecida.</t>
  </si>
  <si>
    <t>El indicador dio como resultado del tercer  trimestre un 98,4% , por la gestión que desde la Unidad de cartera y Ahorros se está realizando con las pagadurias.</t>
  </si>
  <si>
    <t>El indicador dio el resultado del 2%, debido a la gestión que se viene desarrollando por parte del personal contratado, dentro del cual se implemento una comunicación que se envia a todos los correos,  para la gestión del cobro en estado persuasivo .</t>
  </si>
  <si>
    <t>El indicador dio el resultado del 2%, debido a la gestión que se viene desarrollando por parte del personal contratado,   dentro del cual se implemento una comunicación que se envia a todos los correos,  para la gestión del cobro en estado prejurídico.</t>
  </si>
  <si>
    <r>
      <rPr>
        <b/>
        <sz val="10"/>
        <rFont val="Arial"/>
        <family val="2"/>
      </rPr>
      <t xml:space="preserve">Planes y proyectos:
</t>
    </r>
    <r>
      <rPr>
        <sz val="10"/>
        <rFont val="Arial"/>
        <family val="2"/>
      </rPr>
      <t xml:space="preserve">
</t>
    </r>
    <r>
      <rPr>
        <b/>
        <sz val="10"/>
        <rFont val="Arial"/>
        <family val="2"/>
      </rPr>
      <t xml:space="preserve">1. </t>
    </r>
    <r>
      <rPr>
        <sz val="10"/>
        <rFont val="Arial"/>
        <family val="2"/>
      </rPr>
      <t xml:space="preserve">Debido a la derogación de la Resolución, por la cual se creó el Comité Interno de Archivo, actualmente la toma de decisiones con respecto a la Gestión Documental son llevadas a cabo por el Comité Institucional de Gestión y Desempeño.
</t>
    </r>
    <r>
      <rPr>
        <b/>
        <sz val="10"/>
        <rFont val="Arial"/>
        <family val="2"/>
      </rPr>
      <t xml:space="preserve">2. </t>
    </r>
    <r>
      <rPr>
        <sz val="10"/>
        <rFont val="Arial"/>
        <family val="2"/>
      </rPr>
      <t xml:space="preserve">El 4 de agosto de 2025 se firmó el convenio interadministrativo No 25-110 entre la Corporación Social de Cundinamarca y la Alianza Colombiana de Instituciones Públicas de Educación Superior RED SUMMA, mediante el cual se estableció como parte de sus obligaciones específicas, la actualización de; El Programa de Gestión Documental (PGD), el Plan Institucional de Archivos (PINAR), el Banco Terminológico (BANTER), EL Cuadro de Clasificación Documental (CCD) y las Tablas de Retención Documental (TRD). Documentos que serán oficializados y entregados antes de la terminación del contrato el 31 de diciembre de 2025.
</t>
    </r>
    <r>
      <rPr>
        <b/>
        <sz val="10"/>
        <rFont val="Arial"/>
        <family val="2"/>
      </rPr>
      <t xml:space="preserve">3. </t>
    </r>
    <r>
      <rPr>
        <sz val="10"/>
        <rFont val="Arial"/>
        <family val="2"/>
      </rPr>
      <t xml:space="preserve">Como parte de las obligaciones específicas del contrato No 25-110 con RED SUMMA, se estableció realizar el inventario en estado natural de 790 metros lineales de archivo, equivalentes a 2.370 cajas aproximadamente. Con corte a 2 de octubre de 2025 se ha elaborado el FUID de 712 cajas, superando en mas de un 200% el objetivo de 279, establecido en el PINAR y alcanzando casi la totalidad del Archivo Central.
</t>
    </r>
    <r>
      <rPr>
        <b/>
        <sz val="10"/>
        <rFont val="Arial"/>
        <family val="2"/>
      </rPr>
      <t xml:space="preserve">4. </t>
    </r>
    <r>
      <rPr>
        <sz val="10"/>
        <rFont val="Arial"/>
        <family val="2"/>
      </rPr>
      <t xml:space="preserve">Se viene realizando el seguimiento de temperatura de la bóveda a diario, la cual debe estar entre 18 y 23 °C y con una humedad relativa promedio entre 55 y 60%, el 9 de septiembre se remitió nuevamente un correo al almacenista general solicitando información con respecto a la revisión del deshumidificador, se ha informado por parte del mismo que ya se ha dado inicio a los respectivos contratos para el mantenimiento general de la sede. De acuerdo a las recomendaciones dadas por la oficina de planeación, el 24 de septiembre se remitió la solicitud de creación de un formato nuevo para el control y seguimiento de temperatura y humedad de la bóveda de archivo y la bodega histórica, tan pronto sea oficializado por la entidad se implementará por parte de los funcionarios de Archivo.
</t>
    </r>
    <r>
      <rPr>
        <b/>
        <sz val="10"/>
        <rFont val="Arial"/>
        <family val="2"/>
      </rPr>
      <t xml:space="preserve">5. </t>
    </r>
    <r>
      <rPr>
        <sz val="10"/>
        <rFont val="Arial"/>
        <family val="2"/>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También se implementará el formato correspondiente tan pronto sea oficializado. 
</t>
    </r>
    <r>
      <rPr>
        <b/>
        <sz val="10"/>
        <rFont val="Arial"/>
        <family val="2"/>
      </rPr>
      <t xml:space="preserve">6. </t>
    </r>
    <r>
      <rPr>
        <sz val="10"/>
        <rFont val="Arial"/>
        <family val="2"/>
      </rPr>
      <t xml:space="preserve">Durante el trimestre reportado no se han realizado cambios de cajas, el próximo trimestre se presentarán las evidencias faltantes teniendo en consideración las observaciones de la oficina de Planeación.
</t>
    </r>
    <r>
      <rPr>
        <b/>
        <sz val="10"/>
        <rFont val="Arial"/>
        <family val="2"/>
      </rPr>
      <t xml:space="preserve">7. </t>
    </r>
    <r>
      <rPr>
        <sz val="10"/>
        <rFont val="Arial"/>
        <family val="2"/>
      </rPr>
      <t>Se realizó un cronograma para brindar 2 capacitaciones de Gestión Documental de manera bimensual con los funcionarios y contratistas de la CSC a lo largo del año, en el mes de agosto se realizó una capacitación el día 5 a la cual asistieron 4 funcionarios y 7 contratistas y una el día 6 a la cual asistió un funcionario y 2 contratistas. Las siguientes 4 capacitaciones de archivo básico serán llevadas a cabo durante los meses de octubre y diciembre, adicionalmente por parte de RED SUMMA también se brindarán capacitaciones de gestión del cambio orientadas a fortalecer competencias en Gestión Documental.</t>
    </r>
  </si>
  <si>
    <t>En el tercer trimestre de 2025 se beneficiaron 108 afiliados y beneficiarios con conferencias  sobre   La magia del desacuerdo , Aprende a combatir la  procrastinaciòn y El corazòn del dinero, se  entregò  1 KIT de libros a afiliado que asistiò cumplidamente a curso  en la vigenia  2024, para un total  de 109  beneficiados con actividades de  Bienestar, en este trimestre tambien se firmaron las siguientes  5 nuevas  alianzas con empresas que ofrecen  descuentos y beneficios especiales para los afiliados  y sus familias : Uniminuto,Tecnirines, La casona, Corpochingaza y Minas de Nemocòn. En este periodo se hizo la gestiòn administrativa con la Universidad de Cundinamarrca para dictar los cursos  diplomados programados para el presente año.</t>
  </si>
  <si>
    <t xml:space="preserve">En  el tercer trimestre  de 2025 a través de 19 asesores comerciales se relizaron 543  visitas a 88 municipios del departamento de los 30 programados,  encaminadas a difundir y promocionar el portafolio de servicios de la entidad. Asesorando y tramitando tanto créditos como afiliaciones. </t>
  </si>
  <si>
    <t>En el tercer trimestre de 2025  se giraron 20 subsidios educativos  de los  49  activos,  pero  la mediciòn se harà en el cuarto trimestre, teniendo en cuenta que los giros son semestrales y se miden en el segundo y cuarto trimestre</t>
  </si>
  <si>
    <t>En el  tercer trimestre de 2025 se radicaron 502 crèditos, se aprobaron 374 y  desembolsaron  373 . No se alcanzò acubrir la meta de 550 en el trimestre</t>
  </si>
  <si>
    <t>De los 373 créditos desembolsados durante el  tercer trimestre de 2025, 29 corresponde a créditos de vivienda hipotecarios de los cuales   13 fueron desembolsados en un periodo menor a 60 dias Y 16 fueron girados en tiempos superior a  60 dìas.</t>
  </si>
  <si>
    <t>De los 373 créditos desembolsados durante el  tercer trimestre de 2025, 344 corresponde a crédito de consumo de los cuales  los 292 fueron desembolsados en un periodo menor a 30 dias  y 52 fueron girados en tiempo superios a 30 diàs. Las  demoras en los tràmites  de crèditos  se debe en ocasiones  a que se dificulta la comunicaciòn con las pagadurìas y con los afiliados para verificar informaciòn, a que  e presenta  demora en allegar  pagares autenticados y libranzas autorizadas, a que los documentos  llegan ilegibles o incompletos y a la demora en la legalizaciòn de polizas por extraprima</t>
  </si>
  <si>
    <t>La entrega de bonos de cine fue entregadas a todos los funcionarios durante el primer trimestre con el fin que pudieran hacer uso del incentivo dentro de la vigencia de las mismas.
Los funcionarios que cumplieron años durante este trimestre accedieron al día compensatorio; así mismo, los interesados accedieron al horario flexible, la sala lactante se encuentra permanentemente en disposición de las usuarias que la requieran.
En lo referente al incentivo de la bicicleta se encuentra vigente mediante acto administrativo, se realizó consulta para validar quienes llegaban en este medio de transporte a la entidad, pero a la fecha no so otorgó como quiera que los funcionarios no usan la bicicleta como medio de transporte para el desplazamiento a la Corporación.
En lo relacionado con el programa -servimos-, se realizó divulgación por los diferentes camales institucionales de los convenios y descuentos a los cuales se pueden acceder por hacer parte del servicio público.
Los conductores de nuestra entidad disfrutaron de dos días de contacto con la naturaleza en articulación Departamento Administrativo de Función Pública de Cundinamarca, en el Eco Hotel Paraíso Terrenal, ubicado en el municipio de La Mesa, Cundinamarca.
Lo referente a la semana de la Salud, auto cuidado, calidad de vida, primeros auxilios psicológicos y alimentación saludable; estas actividades fueron realizadas en trimestres anteriores.
Dentro del programa de incentivos se realizó taller de pintura y reconocimiento a funcionarios de mejores niveles jerárquicos de Carrera Administrativa con el cual se exaltó la labor de cada uno de nuestros servidores públicos, quienes, con vocación, compromiso y ética, trabajan día a día por el bienestar de los afiliados y el fortalecimiento de nuestra misión institucional.</t>
  </si>
  <si>
    <t xml:space="preserve">PARA EL TERCER TRIMESTRE DEL AÑO 2025 SE TENIA PROGRAMADO REALIZAR 5 ACTIVIDADES SEGUN EL CRONOGRAMA PREVISTO, DEL CUAL SE CUMPLIERON CON LAS CINCO ACTIVIDAD 1.2 Revisión y Mantenimiento  tejados sede principal y casa del deportista. 1.3 limpieza y revisión general de canales y bajantes de aguas lluvias sede principal y casa del deportista. 1.4:Reparación o sustitución de grifería e implementos de las baterias de baños. ACTIVIDAD 2.  Mantener buena higiene, condiciones ambientales de trabajo aceptable, un impecable estado de limpieza y pulcritud en salones, oficinas, baños, cafeterías, auditorios, salas, zonas verdes, pasillos y ventanales. , Y ACTIVIDAD 4: Arreglo y mantenimiento barandas de seguridad del 1 piso al 4 piso sede principal incluyendo la casa del deportista y arreglo puestos de trabajo, muebles de baños y chapas de todas las puertas según requerimiento.  ADICIONALMENTE SE REALIZAN LAS ACTIVIDADES 1.1: Lavados y desinfección de 3 tanques de almacenamiento de agua, sede principal CSC Y ACTIVIDAD  5.1:fumigación a sede principal y casa del deportista incluyendo el area de archivo, ACTIVIDADES PENDIENTES DEL SEGUNDO TRIMESTRE. </t>
  </si>
  <si>
    <t>Se realizan inspecciones preoperativas y mantenimientos a los (05) vehículos así: OSM114, OHK865, OFK448, OHK864, OFK544 y se anexaron facturas (FTE 23312, FTE 23313, FTE 23314, FTE 23315, FTE 23316, FTE 23317, FTE 23318, FTE 23319, FTE 23320, FTE 23321), Incluyendo la Revisión Tecnico-Mecánica del Vehículo TOYOTA PRADO - GRIS METALICO TX de placa OFK 544 con fecha de expedición del 04/07/2025.</t>
  </si>
  <si>
    <t>PARA EL TERCER TRIMESTRE DEL AÑO SE RECIBIERON Y DESPACHARON SATISFACTORIAMENTE 20 SOLICITUDES DE ELEMENTOS DE ALMACEN A LAS DEPENDENCIAS SOLICITANTES.(SE ANEXA REPORTE DE INTERFACE SALIDAS DE CONSUMO NOVASOFT).</t>
  </si>
  <si>
    <t>ACTIVIDAD PROGRAMADA PARA SEGUNDO Y CUARTO TRIMESTRE DEL AÑO 2025.</t>
  </si>
  <si>
    <t xml:space="preserve">SE REALIZARON LOS 3 REPORTES MENSUALES EN EL SISTEMA NOVASOFT DONDE SE VERIFICA LAS ENTRADAS Y SALIDAS DEL ALMACEN EN ELEMENTOS DE CONSUMO Y ELEMENTOS DEVOLUTIVOS DEL TERCER TRIMESTRE DEL AÑO EN CURSO.(REPORTE DE NOVASOFT). LA CONCORDANCIA </t>
  </si>
  <si>
    <t>EN EL TERCER TRIMESTRE DEL AÑO 2025 SE PROGRAMARON 6 ACTIVIDADES EN EL CRONOGRAMA DEL PIGA DEL CUAL SE DESARROLLARON LAS 6, MEDIANTE ENVIO DE CORREOS DE SENSIBILIZACION y CAMPAÑA DEL COPASO DE LA ENTIDAD.</t>
  </si>
  <si>
    <t>De acuerdo al PAC del año 2025 se tenía programado recaudar ingresos por valor de $12.812.317.697 y se recaudó presupuestalmente la suma de $11.799.944.625 es decir el 92%, de lo proyectado. Lo anterior significa que no se cumplió el tope de recaudo durante el tercer trimestre 2025.</t>
  </si>
  <si>
    <t>De acuerdo con el PAC del 2025 se tenía programado ejecutar gastos durante el primer trimestre por valor de $12.812.317.697  y se ejecutó la suma de $17.528.905.095 es decir el 137% de lo proyectado para este trimestre, sobrepasando lo presupuestado.</t>
  </si>
  <si>
    <t xml:space="preserve">Se remitieron informes a los entes de control tales como el Chip/Cuipo/CGN/Contraloría Departamental /Secretaría de Hacienda/ requeridos en el tercer trimestre del  2025. Además se realiza la presentación de los impuestos de retención en la fuente (RTE FTE) y retención ICA (RTE ICA) ante la DIAN en los meses correspondientes </t>
  </si>
  <si>
    <t>Las conciliaciones bancarias se realizan mensualmente con fecha de corte al mes inmediatamente anterior en sinergia con el área de tesorería de la Entidad. Sin embargo  a la fecha se esta trabajando en las conciliaciones del mes de Septiembre.</t>
  </si>
  <si>
    <t>Se cumplió con la totalidad de mantenimientos preventivos programados en el cronograma, para un total de 40 mantenimientos realizados en el trimestre; para el mes de julio 15, mes de agostop 12 y mes de septiembre 13.</t>
  </si>
  <si>
    <t>Se realizaron 35 soportes a usuarios que se encuentran reportados en el formato de calidad, dando respuesta satisfactoria a la totalidad.</t>
  </si>
  <si>
    <t>Se realizo la adquisicion e implementacion del certificado de seguridad del portal web de la CSC.</t>
  </si>
  <si>
    <t>Se realizaron las actividades indicadas en los planes, gestionando la seguridad digital de la CSC mediante la actualizacion de las politicas de seguridad del firewall y el seguimiento a la consola del antivirus Bitdefender y revision de la matriz de riesgos.</t>
  </si>
  <si>
    <r>
      <t xml:space="preserve">Durante en trimestre (Julio, Agosto, Septiembre), del año 2025 se ha dado cumplimiento al PAA en los siguientes procesos de contratación:                                                                                                                                                </t>
    </r>
    <r>
      <rPr>
        <b/>
        <sz val="10"/>
        <rFont val="Arial"/>
        <family val="2"/>
      </rPr>
      <t>1.</t>
    </r>
    <r>
      <rPr>
        <sz val="10"/>
        <rFont val="Arial"/>
        <family val="2"/>
      </rPr>
      <t xml:space="preserve"> Prestación de Servicios Profesionales y de Apoyo a la Gestión para el cumplimiento de las actividades de las áreas de la CSC. Modalidad Contratacion Directa </t>
    </r>
    <r>
      <rPr>
        <b/>
        <sz val="10"/>
        <rFont val="Arial"/>
        <family val="2"/>
      </rPr>
      <t xml:space="preserve">25-100 hasta el 25-124. </t>
    </r>
    <r>
      <rPr>
        <sz val="10"/>
        <rFont val="Arial"/>
        <family val="2"/>
      </rPr>
      <t xml:space="preserve">                                                                               </t>
    </r>
    <r>
      <rPr>
        <b/>
        <sz val="10"/>
        <rFont val="Arial"/>
        <family val="2"/>
      </rPr>
      <t>2.</t>
    </r>
    <r>
      <rPr>
        <sz val="10"/>
        <rFont val="Arial"/>
        <family val="2"/>
      </rPr>
      <t xml:space="preserve"> Compra de papelería, elementos y útiles de oficina. </t>
    </r>
    <r>
      <rPr>
        <b/>
        <sz val="10"/>
        <rFont val="Arial"/>
        <family val="2"/>
      </rPr>
      <t xml:space="preserve">25-0012. </t>
    </r>
    <r>
      <rPr>
        <sz val="10"/>
        <rFont val="Arial"/>
        <family val="2"/>
      </rPr>
      <t xml:space="preserve">                             </t>
    </r>
    <r>
      <rPr>
        <b/>
        <sz val="10"/>
        <rFont val="Arial"/>
        <family val="2"/>
      </rPr>
      <t>3.</t>
    </r>
    <r>
      <rPr>
        <sz val="10"/>
        <rFont val="Arial"/>
        <family val="2"/>
      </rPr>
      <t xml:space="preserve"> El proceso</t>
    </r>
    <r>
      <rPr>
        <b/>
        <sz val="10"/>
        <rFont val="Arial"/>
        <family val="2"/>
      </rPr>
      <t xml:space="preserve"> 25-0013</t>
    </r>
    <r>
      <rPr>
        <sz val="10"/>
        <rFont val="Arial"/>
        <family val="2"/>
      </rPr>
      <t xml:space="preserve"> sale por </t>
    </r>
    <r>
      <rPr>
        <b/>
        <sz val="10"/>
        <rFont val="Arial"/>
        <family val="2"/>
      </rPr>
      <t>2</t>
    </r>
    <r>
      <rPr>
        <sz val="10"/>
        <rFont val="Arial"/>
        <family val="2"/>
      </rPr>
      <t xml:space="preserve"> líneas del PAA. </t>
    </r>
    <r>
      <rPr>
        <b/>
        <sz val="10"/>
        <rFont val="Arial"/>
        <family val="2"/>
      </rPr>
      <t>1.</t>
    </r>
    <r>
      <rPr>
        <sz val="10"/>
        <rFont val="Arial"/>
        <family val="2"/>
      </rPr>
      <t xml:space="preserve"> Suministro de materiales y reparación, lavado de tanques, fumigación, entre otro. Y la</t>
    </r>
    <r>
      <rPr>
        <b/>
        <sz val="10"/>
        <rFont val="Arial"/>
        <family val="2"/>
      </rPr>
      <t xml:space="preserve"> 2</t>
    </r>
    <r>
      <rPr>
        <sz val="10"/>
        <rFont val="Arial"/>
        <family val="2"/>
      </rPr>
      <t xml:space="preserve">. Contrato de obra arreglos locativos construcción sede Corporación y casa del deportista.                                                                                                                 </t>
    </r>
    <r>
      <rPr>
        <b/>
        <sz val="10"/>
        <rFont val="Arial"/>
        <family val="2"/>
      </rPr>
      <t xml:space="preserve">4. </t>
    </r>
    <r>
      <rPr>
        <sz val="10"/>
        <rFont val="Arial"/>
        <family val="2"/>
      </rPr>
      <t>El proceso</t>
    </r>
    <r>
      <rPr>
        <b/>
        <sz val="10"/>
        <rFont val="Arial"/>
        <family val="2"/>
      </rPr>
      <t xml:space="preserve"> 25-0014</t>
    </r>
    <r>
      <rPr>
        <sz val="10"/>
        <rFont val="Arial"/>
        <family val="2"/>
      </rPr>
      <t xml:space="preserve"> Intermediarios de Seguros con la firma PIZANO ECHEVERRI Y ASOCIADOS LTDA con modalidad de contratación Concurso de Méritos no está en el PAA porque no tiene erogación presupuestal.                                                                      </t>
    </r>
    <r>
      <rPr>
        <b/>
        <sz val="10"/>
        <rFont val="Arial"/>
        <family val="2"/>
      </rPr>
      <t>5.</t>
    </r>
    <r>
      <rPr>
        <sz val="10"/>
        <rFont val="Arial"/>
        <family val="2"/>
      </rPr>
      <t xml:space="preserve"> El proceso </t>
    </r>
    <r>
      <rPr>
        <b/>
        <sz val="10"/>
        <rFont val="Arial"/>
        <family val="2"/>
      </rPr>
      <t>25-001</t>
    </r>
    <r>
      <rPr>
        <sz val="10"/>
        <rFont val="Arial"/>
        <family val="2"/>
      </rPr>
      <t xml:space="preserve"> Compra de Vehículo tampoco está en el PAA.                                                                                                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dejaron plasmados en el </t>
    </r>
    <r>
      <rPr>
        <b/>
        <sz val="10"/>
        <rFont val="Arial"/>
        <family val="2"/>
      </rPr>
      <t xml:space="preserve">PAA vigencia 2025. </t>
    </r>
    <r>
      <rPr>
        <sz val="10"/>
        <rFont val="Arial"/>
        <family val="2"/>
      </rPr>
      <t xml:space="preserve"> Adicionalmente se adjunta archivo en Excel con la base de datos con la contratación Directa que se realizó desde el mes de</t>
    </r>
    <r>
      <rPr>
        <b/>
        <sz val="10"/>
        <rFont val="Arial"/>
        <family val="2"/>
      </rPr>
      <t xml:space="preserve"> Julio</t>
    </r>
    <r>
      <rPr>
        <sz val="10"/>
        <rFont val="Arial"/>
        <family val="2"/>
      </rPr>
      <t xml:space="preserve"> hasta el </t>
    </r>
    <r>
      <rPr>
        <b/>
        <sz val="10"/>
        <rFont val="Arial"/>
        <family val="2"/>
      </rPr>
      <t>30 de Septiembre de 2025,</t>
    </r>
    <r>
      <rPr>
        <sz val="10"/>
        <rFont val="Arial"/>
        <family val="2"/>
      </rPr>
      <t xml:space="preserve"> Contratos </t>
    </r>
    <r>
      <rPr>
        <b/>
        <sz val="10"/>
        <rFont val="Arial"/>
        <family val="2"/>
      </rPr>
      <t xml:space="preserve">25-100 hasta el 25-124.                                                                  </t>
    </r>
    <r>
      <rPr>
        <sz val="10"/>
        <rFont val="Arial"/>
        <family val="2"/>
      </rPr>
      <t xml:space="preserve">                                      </t>
    </r>
    <r>
      <rPr>
        <b/>
        <sz val="10"/>
        <rFont val="Arial"/>
        <family val="2"/>
      </rPr>
      <t>Nota:</t>
    </r>
    <r>
      <rPr>
        <sz val="10"/>
        <rFont val="Arial"/>
        <family val="2"/>
      </rPr>
      <t xml:space="preserve"> Información que reposa en las carpetas en físico en el archivo de la </t>
    </r>
    <r>
      <rPr>
        <b/>
        <sz val="10"/>
        <rFont val="Arial"/>
        <family val="2"/>
      </rPr>
      <t xml:space="preserve">Oficina de Contratación </t>
    </r>
    <r>
      <rPr>
        <sz val="10"/>
        <rFont val="Arial"/>
        <family val="2"/>
      </rPr>
      <t>y en la</t>
    </r>
    <r>
      <rPr>
        <b/>
        <sz val="10"/>
        <rFont val="Arial"/>
        <family val="2"/>
      </rPr>
      <t xml:space="preserve"> Red.   </t>
    </r>
    <r>
      <rPr>
        <sz val="10"/>
        <rFont val="Arial"/>
        <family val="2"/>
      </rPr>
      <t xml:space="preserve">                                                                                                                                                                                                                                                                                                       </t>
    </r>
  </si>
  <si>
    <r>
      <t xml:space="preserve">El número de cuentas rendidas durante el periodo de </t>
    </r>
    <r>
      <rPr>
        <b/>
        <sz val="10"/>
        <rFont val="Arial"/>
        <family val="2"/>
      </rPr>
      <t>Julio a Septiembre de 2025 en la plataforma de SIA OBSERVA</t>
    </r>
    <r>
      <rPr>
        <sz val="10"/>
        <rFont val="Arial"/>
        <family val="2"/>
      </rPr>
      <t xml:space="preserve"> los primeros tres (3) días hábiles del mes correspondiente son:
</t>
    </r>
    <r>
      <rPr>
        <b/>
        <sz val="10"/>
        <rFont val="Arial"/>
        <family val="2"/>
      </rPr>
      <t xml:space="preserve">JULIO: </t>
    </r>
    <r>
      <rPr>
        <sz val="10"/>
        <rFont val="Arial"/>
        <family val="2"/>
      </rPr>
      <t xml:space="preserve">Se rindieron 08 contratos. 
</t>
    </r>
    <r>
      <rPr>
        <b/>
        <sz val="10"/>
        <rFont val="Arial"/>
        <family val="2"/>
      </rPr>
      <t>AGOSTO:</t>
    </r>
    <r>
      <rPr>
        <sz val="10"/>
        <rFont val="Arial"/>
        <family val="2"/>
      </rPr>
      <t xml:space="preserve"> Se rindieron 08 contratos.
</t>
    </r>
    <r>
      <rPr>
        <b/>
        <sz val="10"/>
        <rFont val="Arial"/>
        <family val="2"/>
      </rPr>
      <t>SEPTIEMBRE:</t>
    </r>
    <r>
      <rPr>
        <sz val="10"/>
        <rFont val="Arial"/>
        <family val="2"/>
      </rPr>
      <t xml:space="preserve"> Se rindieron 10 contratos.
</t>
    </r>
    <r>
      <rPr>
        <b/>
        <sz val="10"/>
        <rFont val="Arial"/>
        <family val="2"/>
      </rPr>
      <t xml:space="preserve">NOTA: </t>
    </r>
    <r>
      <rPr>
        <sz val="10"/>
        <rFont val="Arial"/>
        <family val="2"/>
      </rPr>
      <t xml:space="preserve">Se adjunta actas de reunión y constancia de rendición del mes de Julio, Agosto y Septiembre de 2025.
</t>
    </r>
  </si>
  <si>
    <r>
      <t xml:space="preserve">Durante el trimestre (Julio, Agosto, Septiembre), de la vigencia 2025 se realizaron las siguientes terminaciones de contratos:                                       </t>
    </r>
    <r>
      <rPr>
        <b/>
        <sz val="10"/>
        <rFont val="Arial"/>
        <family val="2"/>
      </rPr>
      <t>1. 25-014</t>
    </r>
    <r>
      <rPr>
        <sz val="10"/>
        <rFont val="Arial"/>
        <family val="2"/>
      </rPr>
      <t xml:space="preserve"> Camilo Andres Angel Perez                                                                 </t>
    </r>
    <r>
      <rPr>
        <b/>
        <sz val="10"/>
        <rFont val="Arial"/>
        <family val="2"/>
      </rPr>
      <t xml:space="preserve">2. 25-016 </t>
    </r>
    <r>
      <rPr>
        <sz val="10"/>
        <rFont val="Arial"/>
        <family val="2"/>
      </rPr>
      <t xml:space="preserve">Juan Diego Arias Gomez                                                                    </t>
    </r>
    <r>
      <rPr>
        <b/>
        <sz val="10"/>
        <rFont val="Arial"/>
        <family val="2"/>
      </rPr>
      <t>3.</t>
    </r>
    <r>
      <rPr>
        <sz val="10"/>
        <rFont val="Arial"/>
        <family val="2"/>
      </rPr>
      <t xml:space="preserve"> </t>
    </r>
    <r>
      <rPr>
        <b/>
        <sz val="10"/>
        <rFont val="Arial"/>
        <family val="2"/>
      </rPr>
      <t>25-043</t>
    </r>
    <r>
      <rPr>
        <sz val="10"/>
        <rFont val="Arial"/>
        <family val="2"/>
      </rPr>
      <t xml:space="preserve"> Laura Paola Neusa Rodriguez                                                            </t>
    </r>
    <r>
      <rPr>
        <b/>
        <sz val="10"/>
        <rFont val="Arial"/>
        <family val="2"/>
      </rPr>
      <t>4.</t>
    </r>
    <r>
      <rPr>
        <sz val="10"/>
        <rFont val="Arial"/>
        <family val="2"/>
      </rPr>
      <t xml:space="preserve"> </t>
    </r>
    <r>
      <rPr>
        <b/>
        <sz val="10"/>
        <rFont val="Arial"/>
        <family val="2"/>
      </rPr>
      <t>25-047</t>
    </r>
    <r>
      <rPr>
        <sz val="10"/>
        <rFont val="Arial"/>
        <family val="2"/>
      </rPr>
      <t xml:space="preserve"> Cristian Javier Velandia Urbina                                                          </t>
    </r>
    <r>
      <rPr>
        <b/>
        <sz val="10"/>
        <rFont val="Arial"/>
        <family val="2"/>
      </rPr>
      <t xml:space="preserve">  5. 25-065</t>
    </r>
    <r>
      <rPr>
        <sz val="10"/>
        <rFont val="Arial"/>
        <family val="2"/>
      </rPr>
      <t xml:space="preserve"> Claudia Patricia Torres Montaño                                                            </t>
    </r>
    <r>
      <rPr>
        <b/>
        <sz val="10"/>
        <rFont val="Arial"/>
        <family val="2"/>
      </rPr>
      <t>6. 25-0011</t>
    </r>
    <r>
      <rPr>
        <sz val="10"/>
        <rFont val="Arial"/>
        <family val="2"/>
      </rPr>
      <t xml:space="preserve"> MOTORYSA CASATORO202 (COMPRA VEHICULO)                                                     7</t>
    </r>
    <r>
      <rPr>
        <b/>
        <sz val="10"/>
        <rFont val="Arial"/>
        <family val="2"/>
      </rPr>
      <t>. 25-0012</t>
    </r>
    <r>
      <rPr>
        <sz val="10"/>
        <rFont val="Arial"/>
        <family val="2"/>
      </rPr>
      <t xml:space="preserve"> Papeleria                                                                                     </t>
    </r>
    <r>
      <rPr>
        <b/>
        <sz val="10"/>
        <rFont val="Arial"/>
        <family val="2"/>
      </rPr>
      <t>NOTA:</t>
    </r>
    <r>
      <rPr>
        <sz val="10"/>
        <rFont val="Arial"/>
        <family val="2"/>
      </rPr>
      <t xml:space="preserve"> El acta de terminación de cada uno de los contratos anteriormente mesionados se encuentran en la Red.   </t>
    </r>
  </si>
  <si>
    <r>
      <t xml:space="preserve">En el tercer trimestre la CSC conoció el resultado de FURAG obteniendo un puntaje de </t>
    </r>
    <r>
      <rPr>
        <b/>
        <sz val="10"/>
        <rFont val="Arial"/>
        <family val="2"/>
      </rPr>
      <t>80.6</t>
    </r>
    <r>
      <rPr>
        <sz val="10"/>
        <rFont val="Arial"/>
        <family val="2"/>
        <charset val="1"/>
      </rPr>
      <t xml:space="preserve">, frente a una meta institucional establecida superior a </t>
    </r>
    <r>
      <rPr>
        <b/>
        <sz val="10"/>
        <rFont val="Arial"/>
        <family val="2"/>
      </rPr>
      <t>86</t>
    </r>
    <r>
      <rPr>
        <sz val="10"/>
        <rFont val="Arial"/>
        <family val="2"/>
        <charset val="1"/>
      </rPr>
      <t>. Ante esta variación, el grupo de trabajo de Planeación solicitó acompañamiento DAPF, con el fin de realizar un análisis detallado del cuestionario, identificar las principales falencias y establecer acciones correctivas.
Como resultado de este trabajo se identificó un plan de mejoramiento en los procesos con mayor afectación.</t>
    </r>
  </si>
  <si>
    <t xml:space="preserve">Par este periodo se realizó el seguimiento correspondiente al segundo cuatrimestre del Plan Anticorrupción y de Atención al Ciudadano. Adicionalmente, en atención a la decisión tomada en el último Comité de Gestión y Desempeño, se definió modificar la periodicidad del seguimiento de los demás planes estratégicos contemplados en el decreto estableciendo que dicho seguimiento se realizará de manera trimestral, con el fin de fortalecer el monitoreo. </t>
  </si>
  <si>
    <t>De acuerdo con las evidencias aportadas por el proceso, se identifica que cumple parcialmente el indicador, dado que no alcanzó el puntaje igual o superior a 86 en la calificación FURAG. El resultado obtenido fue de 80,6, evidenciándose bajo desempeño en las políticas de Gestión Documental, Gestión del Conocimiento, Servicio al Ciudadano y Racionalización de Trámites.
Se recomienda implementar y dar seguimiento al plan de mejoramiento identificado, asegurando que las acciones propuestas se ejecuten antes de finalizar la vigencia 2025. Además, se sugiere verificar periódicamente el avance de los compromisos por proceso, con el fin de reducir brechas y garantizar la alineación con la meta institucional establecida.</t>
  </si>
  <si>
    <t>Al finalizar el segundo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segundo seguimiento del plan de acción se encuentra publicado en la ruta de calidad  con un avance del 39%</t>
  </si>
  <si>
    <t>Se realizó seguimiento a la plataforma del SUIT, donde se registraron las diferentes PQRS presentadas durante el periodo a los trámites inscritos. En cuanto al seguimiento de la estrategia de racionalización, se envio un correo al SUIT para asesoramiento el 30 de septiembre, con el fin de saber que se debe hacer con una estartegia que no se puede cumplir y viene de años atras... sin emabrgo, la oficina de atención al cliente ha realizado la solicitud de actualizar el formulario de afiliaciones en novasoft,  estos responden que no es posible, debido a que el contrato con la empresa no genera desarrollos tecnologicos.</t>
  </si>
  <si>
    <t>De acuerdo con las evidencias presentadas el proceso cumple el indicador, dado que ha realizado el seguimiento en el Sistema Único de Información de Trámites (SUIT) y mantiene actualizados los trámites inscritos. Sin embargo, se identifica la necesidad de avanzar en la racionalización de los trámites y en el seguimiento de la estrategia de atención al cliente, conforme a las observaciones dadas por el SUIT.
Se recomienda realizar la racionalización de los trámites antes de finalizar la vigencia 2025 y resolver los ajustes relacionados con la estrategia de atención al cliente, en concordancia con los lineamientos del SUIT. Adicionalmente, se sugiere mantener la actualización continua de la información registrada para asegurar el cumplimiento del indicador.</t>
  </si>
  <si>
    <t>Con base en las evidencias aportadas por el proceso, se verifica que el indicador cumple, dado que se visitaron 88 municipios, superando la meta trimestral establecida de 30 municipios. Este resultado refleja una eficiente promoción del portafoliode servicios  en el departamento.
Se recomienda ajustar la meta del próximo trimestre con el fin de evitar la sobreestimación del indicador y mejorar la precisión de la medición. Asimismo, se sugiere priorizar la promoción en las provincias donde las visistas han sido limitadas como Oriente, Centro Sabana y Guavió fortaleciendo la cobertura territorial de la entidad.</t>
  </si>
  <si>
    <t xml:space="preserve">El indicador no presenta medición para el periodo evaluado. No obstante, se revisaron las evidencias aportadas por el proceso y se verificó el giro de 19 subsidios educativos, así como 2 personas que perdieron el incentivo. Se identificaron inconsistencias en algunos registros, asi como beneficiarios que no cuentan con evidencias durante el mes de septiembre.
Se recomienda realizar la verificación y actualización de los registros de beneficiarios, asegurando la trazabilidad completa de los subsidios girados y entregados durante el periodo. Asimismo, se sugiere fortalecer los controles internos para garantizar la oportunidad y precisión enel proximo periodo. </t>
  </si>
  <si>
    <t>Durante el tercer trimestre de 2025 se desembolsaron 373 créditos por un valor total de $10.058.628.303, sin alcanzar la meta de 550 créditos para el periodo. El resultado evidencia un cumplimiento parcial del indicador y refleja la necesidad de fortalecer las acciones de colocación y seguimiento a los afiliados potenciales.
Se recomienda analizar las causas que limitaron el cumplimiento de la meta, identificando los factores operativos o de demanda que influyeron en la reducción del número de créditos desembolsados. Asimismo, se sugiere implementar estrategias de promoción y acompañamiento más efectivas, con el fin de mejorar la cobertura y la colocación de créditos en el próximo trimestre.</t>
  </si>
  <si>
    <t>Durante el tercer trimestre de 2025  de los 373 créditos desembolsados, 29 corresponden a créditos de vivienda hipotecarios. Se verificó que 13 de estos fueron desembolsados en un periodo menor a 60 días, por lo que el indicador cumple parcialmente la meta. Lo ideal sería que la totalidad de los créditos de vivienda se desembolsaran dentro del plazo establecido, garantizando oportunidad en la gestión.
Se recomienda analizar las causas que generan demoras en el desembolso de los créditos hipotecarios y establecer acciones de mejora en los procesos de evaluación, aprobación y formalización. Asimismo, se sugiere fortalecer la coordinación entre las áreas involucradas para optimizar los tiempos de respuesta y asegurar que los desembolsos se realicen dentro del plazo meta de 60 días en los próximos periodos.</t>
  </si>
  <si>
    <t>El indicador de desembolso de créditos de consumo se cumple parcialmente, ya que durante el tercer trimestre se entregaron oportunamente 292 de 344 créditos desembolsados, mientras que 52 presentaron demoras en la entrega. Se recomienda fortalecer el registro y documentación de las causas que generan demoras en el desembolso de créditos de consumo, para facilitar la identificación de las demoras y promover acciones que optimicen los tiempos de entrega.</t>
  </si>
  <si>
    <t>Durante el tercer trimestre, el indicador de mantener la cartera en estado persuasivo por debajo del 3% cumple, dado que el resultado obtenido fue de 2.3%, lo que evidencia un control adecuado de la cartera y una gestión efectiva en las acciones de seguimiento y recuperación.</t>
  </si>
  <si>
    <t>Durante el tercer trimestre se evidencia que el proceso no cumple con el indicador, ya que la cartera jurídica registró un 32.9%, superando en 4 puntos la meta establecida. Si bien la entidad ha implementado una medida de alivio económico, se recomienda fortalecer su difusión para incentivar la acogida por parte de los afiliados y contribuir a que en el próximo trimestre el indicador avance hacia el cumplimiento de su propósito.</t>
  </si>
  <si>
    <t>Durante el tercer trimestre, el indicador de mantener la cartera en estado prejurídico por debajo del 3% cumple, registrando un resultado de 1.7%, lo que refleja un adecuado control del proceso y unas acciones de seguimiento oportunas que permitieron mantener la cartera dentro del rango esperado.</t>
  </si>
  <si>
    <t>De acuerdo con las evidencias reportadas, durante el tercer  trimestre el proceso atendió 35 solicitudes, entre ellas tickets relacionados con Novasoft, mantenimiento de impresoras y conexiones a la VPN. La mayoría contó con solución oportuna, por lo que el indicador se cumple, evidenciando una gestión eficiente en la atención y resolución de requerimientos.</t>
  </si>
  <si>
    <t>Durante el trimestre, el proceso gestionó la renovación por dos años del certificado de sitio seguro SSL para la página web de la Corporación Social de Cundinamarca mediante el servicio MPKI para SSL, por lo que el indicador se cumple. Se recomienda al proceso verificar qué otros equipos o infraestructuras tecnológicas requieren la entidad, con el fin de planificar su implementación y fortalecer la seguridad institucional.</t>
  </si>
  <si>
    <t>Durante el trimestre se evidencia que el indicador no cumple, dado que de las 5 actividades programadas en el PETIC solo se ejecutaron 2: la activación del sitio seguro MPKI y la adquisición del sistema de gestión de calidad y gestión documental. Permanecen pendientes la actualización del firewall, el aplicativo jurídico, la licencia de Open IA, así como 6 actividades del plan de riesgos y 5 actividades del plan de seguridad de la información, sin que se observe avance o seguimiento en estas. Se recomienda al proceso fortalecer la planificación y priorización de estas acciones para asegurar su ejecución en el próximo periodo.</t>
  </si>
  <si>
    <t>De acuerdo con las evidencias aportadas por el proceso, se evidencia que de las 7 actividades programadas se ejecutaron 6, quedando pendiente únicamente la actividad relacionada con el cambio de las cajas. Asimismo, se verificó la contratación de una entidad encargada de actualizar los instrumentos archivísticos, por lo que se espera que para el próximo periodo estos puedan estar actualizados. El indicador cumple parcialmente, dado que aún queda una actividad por finalizar.</t>
  </si>
  <si>
    <t>De acuerdo con las evidencias reportadas, el proceso no cumple con el indicador, pues de las 5 actividades de mantenimiento programadas solo se ejecutaron 2,  relacionadas con la adecuación de oficina y pasillos, así como con el correcto funcionamiento de los baños. Se recomienda establecer un plan de ejecución inmediata priorizando las actividades pendientes y asegurando mecanismos de seguimiento  para garantizar que el próximo trimestre se realicen las actividades y se ejecuenten las pendientes, sin rezagos.</t>
  </si>
  <si>
    <t>Para este trimestre el indicador no presenta seguimiento; sin embargo, se tiene en cuenta que se realizaron los mantenimientos previstos al parque automotor, soportados con las órdenes de pago correspondientes. Se recomienda al proceso fortalecer el registro y seguimiento periódico de estas actividades, incorporando el formato de inspección preoperativa de la Ruta de la Calidad para mejorar la trazabilidad y asegurar un control preventivo adecuado.</t>
  </si>
  <si>
    <r>
      <t xml:space="preserve">De acuerdo con las evidencias suministradas por el proceso, se observa que se entregan la mayoría de los elementos solicitados por los procesos y se realiza el respectivo seguimiento a la entrega, por lo cual el indicador </t>
    </r>
    <r>
      <rPr>
        <sz val="11"/>
        <color theme="1"/>
        <rFont val="Calibri"/>
        <family val="2"/>
      </rPr>
      <t>se cumple. No obstante, se recomienda al proceso actualizar el formato de solicitud de elementos,  eliminando los elementos que ya no hacen parte del inventario e incorporando una lista de aquellos que presentan escasez, con el fin de priorizar su adquisición y garantizar su disponibilidad oportuna.</t>
    </r>
  </si>
  <si>
    <t>Para el trimestre, el indicador no presenta seguimiento; por lo tanto, se recomienda al proceso iniciar la ejecución de la actualización de los inventarios individuales de los funcionarios, con el fin de asegurar la trazabilidad, el control de los bienes asignados y la continuidad del seguimiento en el úlitmo trimestre.</t>
  </si>
  <si>
    <t>De acuerdo con las evidencias, el proceso cumple parcialemnte con el indicador al presentar informes de inventarios devolutivos y de consumo generados en Novasoft; sin embargo, no se verifica la concordancia entre lo reportado y el inventario físico real, lo que genera una brecha en la confiabilidad de la información y limita la validación efectiva del cumplimiento. Se recomienda al proceso fortalecer las evidencias para el próximo trimestre o ajustar el indicador, de manera que refleje de forma más realista la gestión de inventarios y no se limite únicamente a la generación de reportes.</t>
  </si>
  <si>
    <r>
      <t xml:space="preserve">De acuerdo con las evidencias aportadas por el proceso, de las 6 actividades programadas en el PIGA solo se ejecutó 1, relacionada con el análisis de los puestos de trabajo; sin embargo, aún se requiere anexar los informes correspondientes a dicho análisis. Se recomienda al proceso </t>
    </r>
    <r>
      <rPr>
        <sz val="11"/>
        <color theme="1"/>
        <rFont val="Calibri"/>
        <family val="2"/>
      </rPr>
      <t>regularizar la ejecución de las actividades pendientes y completar la evidencia faltante, con el fin de asegurar el cumplimiento del plan y mejorar la trazabilidad de los avances en el próximo trimestre.</t>
    </r>
  </si>
  <si>
    <t>De acuerdo con las evidencias aportadas para el trimestre, el indicador no se cumple, ya que de las 4 contrataciones programadas solo se ejecutó 1 (seguros de bienes), quedando pendientes las relacionadas con centrales de riesgos, OpenIA Chat y licencias de firewall. No obstante, el proceso avanzó en contrataciones rezagadas de trimestres anteriores, como papelería, arreglos locativos, lavado de tanques, bienestar y capacitación tanto de funcionarios como de afiliados, sitio seguro web e iSolución. Se recomienda al proceso reforzar la programación y gestión oportuna de las contrataciones trimestrales, asegurando que las actividades proyectadas se ejecuten en el periodo correspondiente.</t>
  </si>
  <si>
    <t>e acuerdo con las evidencias, el proceso cumple con el indicador, dado que durante el trimestre reportó 26 contratos en la aplicación SIA OBSERVA dentro de los tiempos establecidos. Se recomienda al proceso mantener la consistencia en la carga oportuna de la información y reforzar los mecanismos de control interno para asegurar que todos los contratos continúen registrándose sin rezagos.</t>
  </si>
  <si>
    <t>Se evidencia que el proceso cumple con el indicador establecido, ya que durante el trimestre se registraron 7 cierres de contrato y la evaluación del comportamiento de los proveedores fue positiva, con calificaciones entre 4 y 5. Se recomienda al proceso mantener la actualización oportuna de la base de datos y la RED de contratación, asegurando la trazabilidad y el adecuado seguimiento de cada contratación, así como utilizar el formato de calidad para la revaluación de proveedores con el fin de fortalecer la consistencia y estandarización del proceso.</t>
  </si>
  <si>
    <t>Durante el tercer trimestre se llevaron a cabo las capacitaciones correspondientes a Antisoborno y Derecho Disciplinario.
Lo correspondiente a Lenguaje Incluyente y Secop fueron realizadas en los trimestres anteriores.
Lo referente a  Office 365 en coordinación con el Centro de Educación Tecnológica - CET se ofertaron los cursos de Excel Intermedio, Redacción de Informes empresariales, costos y presupuestos, los cuales de desarrollaron de manera virtual.</t>
  </si>
  <si>
    <t>Durante el tercer trimestre de 2025, el cumplimiento del Plan Anual del SG-SST avanzó conforme al cronograma establecido. En cuanto a la actualización de la matriz de peligros, se contó con la revisión y asesoría de la ARL para iniciar los ajustes al Plan de Emergencias, elaborado por última vez en 2023. Este documento, actualmente en proceso de actualización, servirá como base para la matriz de peligros, la cual no presenta modificaciones significativas dado que la planta física no ha tenido cambios estructurales. En relación con la afiliación a la ARL, se realizaron las gestiones correspondientes para los funcionarios y contratistas de nuevo ingreso, anexando una muestra de las solicitudes efectuadas. Respecto al registro de ausentismos en la plataforma Alista, se continúa en espera de la habilitación del sistema de Positiva para poder cargar la información. En materia de vigilancia médica, se practicó el examen de ingreso a un nuevo trabajador y no se reportaron accidentes laborales durante el periodo evaluado.
En cuanto a las actividades de capacitación y promoción, se desarrolló de manera virtual el Taller de sensibilización sobre prevención del consumo de sustancias psicoactivas, tabaquismo y alcoholismo el 24 de septiembre de 2025. La actividad Hábitos y estilos de vida saludable (motivación) fue eliminada del cronograma conforme a la solicitud presentada ante el área de Planeación. Así mismo, la jornada sobre Diversidad sexual y de género, prevención del maltrato y la violencia basada en género se realizó el 31 de marzo de 2025, quedando registrada su modificación en el cronograma. En cuanto a la estrategia Salas Amigas de la Lactancia (SAFL), se ejecutó la actividad Reconocer dificultades: investigando la causa de baja producción láctea, riesgo del uso de biberones, chupos y leche artificial, técnicas de amamantamiento durante el primer trimestre. Entre las evidencias anexas se incluye la solicitud elevada al Comité Directivo para los ajustes del cronograma, considerando que algunas actividades pendientes de meses anteriores se han venido ejecutando progresivamente y se han incorporado nuevas según las necesidades identificadas.</t>
  </si>
  <si>
    <t>Durante los primeros 15 días del mes de agosto del año 2025, se realizaron las evaluaciones semestrales de los funcionarios inscritos en carrera administrativa. A finales del mes de agosto del 2025 se le hizo seguimiento a la plataforma EDL de la Comisión Nacional del Servicio Civil, evidenciando que faltaron 2 funcionarios por evaluación pertenecientes a la oficina asesora de prensa y atención al cliente; en razón a lo anterior se le requirió a la jefe de la mencionada oficina para que manifestara las razones para las que no realizó las evaluaciones. adicionalmente, se realizó una evaluación que estaba pendiente el 17 de septiembre del 2025 y la semestral correspondiente a la vigencia 2025 - 2026, y se evaluó el periodo de prueba quedando al día. Al trabajador James se le realizó la evaluación del periodo de prueba el 24 de septiembre del 2025 lo que dio lugar al radicado en el SIMO 2025RE215339 del 09 de octubre del 2025 para inscripción en carrera administrativa</t>
  </si>
  <si>
    <t xml:space="preserve">
El Plan Anual del Sistema de Gestión de Seguridad y Salud en el Trabajo (SG-SST) avanza satisfactoriamente conforme al cronograma establecido, con alta participación en las actividades de capacitación y promoción del bienestar laboral. Actualmente, se prepara la aplicación de la evaluación de clima laboral y se encuentra en revisión el Programa de Promoción y Prevención en Salud Mental, el cual será formalizado mediante acto administrativo que consolidará integralmente el SG-SST en la Corporación Social de Cundinamarca. El equipo psicosocial mantiene una labor articulada con el área clínica, el COPASST y el Comité de Convivencia, fortaleciendo la intervención y seguimiento de los riesgos psicosociales.
Asimismo, se destaca la formalización institucional de la Sala Amiga de la Lactancia mediante la Resolución No. 01943 del 16 de septiembre de 2025, que incluye su instructivo de uso y mantenimiento. El responsable del espacio culminó su proceso de certificación ante la Secretaría de Salud del Distrito, y se encuentra en trámite la visita de verificación correspondiente. Las acciones de sensibilización y capacitación sobre lactancia materna se desarrollan de manera continua, con buena participación de las trabajadoras gestantes y lactantes.</t>
  </si>
  <si>
    <t>Efectivamente, los acuerdos de gestión correspondientes al año 2024 continúan pendientes de cargue, ya que aún falta la calificación de la Gerente General al equipo directivo, requisito necesario para ponderar los resultados. En cuanto a los acuerdos de 2025, estos ya fueron firmados y se realizó el respectivo cargue de evidencias; próximamente se solicitará al área de Sistemas su publicación en la plataforma de la Corporación Social de Cundinamarca. Adicionalmente, se avanzó en la implementación de la evaluación de desempeño a través de Google Forms, conforme a lo acordado, con el fin de facilitar su aplicación y optimizar la organización y análisis de los resultados.</t>
  </si>
  <si>
    <t>Para el tercer trimetre de 2025, el recaudo mantuvo la tendencia de los anteriores trimestres, pero aún se encuentra por debajo de lo presupuestado (25%), llegamos al  19.28%; es decir se presupuestó 12.812.317.967 PAC y solamente se recaudó tesoralmente $ 10.341.977269 lo cual representa un cumplimiento del 80.72%  en el trimestre. Se espera que con la ayuda del alivio económico ofrecido por la Corporación a los deudores morosos, el recaudo para el cuarto trimestre supere las espectativas y se logre obtener los resultados tesorales esperados.
El porcentaje acumulado a septiembre de 2025 se encuentra en 58.63%, muy por debajo de lo proyectado (75%), el trabajo de la oficina jurídica y el equipo de abogados de cobranza para el último periodo de 2025 debe ser intenso para obtener los resultados esperados.</t>
  </si>
  <si>
    <t xml:space="preserve">El porcentaje de gastos ejecutados del 30.17% para el tercer trimestre  superó las espectativas presupuestales en un 20.69%, esto debido al pago dentro del periodo de los rubros mas importantes para afiliados contratatos con la Empresa Inmobiliaria y de Servicios Logísticos de Cundinamarca,  sin embargo el acumulado a septiembre (63.78%), aún se encuentra  por debajo de lo proyectado para el tercer trimestre (75,%), seguramente y dependiendo del recaudo del cuarto trimestre con ayuda del alivio económico ofrecido por la CSC, el saldo tesoral sea suficiente para lograr la meta programada.
</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</si>
  <si>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 Como se puede observar para el trimestre julio - septiembre las consignaciones por identificar fueron de 194 y al final del periodo solamente quedaron 2 sin identificar
El reporte TES-105, nos muestra las consignaciones que quedaron del  periodo anterior fueron (12) para un total de 14, de las cuales al inicio del siguiente periodo fueron identificadas 3 consignaciones más, es decir quedaron 11 por identificar.  Es muy importante que los asesores o quienes atienden público informen de manera clara que la identificación de pagos o consignaciones en bancos sean o correspondan al dueño del crédito y no de la persona que hace el proceso, es decir que el núnero de cédula o Nit que debe ir en el volante de consignación debe ser el del beneficiario del crédito para evitar confusiones y el desgaste de identificar dichos recaudos. También es necesario actualizar la base de datos de los afiliados para tener direcciones de correo electrónico y números de teléfono a la mano .</t>
  </si>
  <si>
    <t>De acuerdo con las evidencias reportadas, el proceso registra un recaudo total de $11.799.944.625 frente a una meta proyectada de $12.812.317.697, por lo cual el indicador cumple parcialmente, dado que el recaudo alcanza aproximadamente el 90% de la meta establecida. Se recomienda al proceso fortalecer las estrategias de gestión y seguimiento del recaudo, identificando las fuentes con menor desempeño y realizando ajustes tempranos que permitan cerrar la brecha en los próximos trimestres, así como emitir alertas oportunas a la alta gerencia para facilitar la toma de decisiones correctivas.</t>
  </si>
  <si>
    <r>
      <t xml:space="preserve">De acuerdo con las evidencias, el indicador </t>
    </r>
    <r>
      <rPr>
        <sz val="11"/>
        <color theme="1"/>
        <rFont val="Calibri"/>
        <family val="2"/>
      </rPr>
      <t>no se cumple, ya que se tenía programado ejecutar gastos por $12.812.317.697 y finalmente se ejecutaron $17.528.905.095, evidenciando una sobre-ejecución significativa. Además, los ingresos registrados no superan los valores ejecutados. Se recomienda al proceso fortalecer el control presupuestal, revisar las causas de la sobre-ejecución y ajustar los mecanismos de planeación y seguimiento para evitar desviaciones similares en los próximos trimestres.</t>
    </r>
  </si>
  <si>
    <t>De acuerdo con las evidencias revisadas, el proceso cumplió con el indicador para el tercer trimestre de 2025, dado que de las 4 capacitaciones programadas se llevaron a cabo las 4 (lenguaje incluyente, SECOP, Office y antisoborno). Adicionalmente, se adelantaron 2 capacitaciones pendientes del segundo trimestre, relacionadas con gastos y presupuesto, y liderazgo y trabajo en equipo. Se recomienda al proceso gestionar las capacitaciones restantes en el siguiente trimestre, procurando que se desarrollen dentro de los plazos establecidos, y promover una mayor participación de los funcionarios, seleccionando temas de interés transversal que fortalezcan las competencias institucionales.</t>
  </si>
  <si>
    <t>De acuerdo con las evidencias revisadas, el proceso cumplió con el indicador para el tercer trimestre de 2025, ya que de las 16 actividades programadas se ejecutaron 15, quedando pendiente únicamente la relacionada con la prevención del acoso laboral. Además, el proceso adelantó actividades correspondientes a periodos anteriores, como la sesión de aeróbicos, la feria de emprendimientos y la difusión del uso de la bicicleta. Se recomienda continuar promoviendo los incentivos existentes, como el uso de la bicicleta, y socializar periódicamente el programa Servimos y el programa de incentivos, asegurando que todos los funcionarios estén informados y puedan acceder oportunamente a estos beneficios.</t>
  </si>
  <si>
    <t>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el próximo trimestre.</t>
  </si>
  <si>
    <t>De acuerdo con las evidencias revisadas, el proceso cumplió con el indicador para el tercer trimestre de 2025, ya que se radicaron ante las EPS las 4 incapacidades reportadas, equivalente al 100% del total. Se evidencia que 2 incapacidades fueron pagadas oportunamente por las EPS, mientras que 2 correspondientes al mes de septiembre aún no registran reporte de pago. Se recomienda al proceso realizar seguimiento activo a las EPS para asegurar el pago de las incapacidades pendientes y mantener actualizada la trazabilidad para el próximo trimestre.</t>
  </si>
  <si>
    <t>Se evidencia que el proceso cumple con el indicador, al haberse realizado el seguimiento correspondiente para la evaluación del desempeño de los funcionarios de planta de la entidad. No obstante, no se encuentra evidencia de la evaluación de las funcionarias Amparo Gómez y Margarita Dimate. Se recomienda al proceso fortalecer la calidad y completitud de las evidencias aportadas en futuras mediciones, así como formalizar el formato de evaluación del período de prueba dentro del Sistema de Gestión de Calidad, garantizando su trazabilidad y cumplimiento.</t>
  </si>
  <si>
    <t>Para este trimestre, el indicador no presenta medición, por lo que se recomienda al proceso iniciar el desarrollo del autodiagnóstico con el fin de garantizar su cumplimiento en el siguiente trimestre. Adicionalmente, se sugiere revisar la información que se está reportando los seguimeitno s del plan de acción, ya que no es coherente con lo que se pide en el indicador.</t>
  </si>
  <si>
    <t>El proceso no cumple con el indicador, ya que para este trimestre se debía realizar el primer seguimiento a los acuerdos de gestión del primer semestre de 2025. Si bien se evidencia la publicación en la web de la concertación de los acuerdos de 2025, continúan pendientes los seguimientos correspondientes al segundo semestre de 2024 y al primer semestre de 2025. Se recomienda al proceso regularizar los seguimientos atrasados.</t>
  </si>
  <si>
    <t>De acuerdo con las evidencias presentadas, el proceso cumple con el indicador, ya que se tenían programados 6 informes correspondientes a los reportes departamentales, nacionales, impuestos y estampillas, y todos fueron entregados en su totalidad y en las fechas establecidas. Se recomienda al proceso mantener esta dinámica de gestión, asegurando que los informes continúen presentándose dentro de los plazos  y conservando la calidad y oportunidad de la información reportada.</t>
  </si>
  <si>
    <t>De acuerdo con las evidencias aportadas, el proceso cumple parcualmente con el indicador, ya que el recaudo tesoral alcanzó $10.341.976.969 frente a los $12.812.317.967 proyectados en el PAC. Si bien se han implementado estrategias de recuperación, que se encuentran vigentes, se recomienda al proceso continuar el seguimiento a los ingresos, garantizando que no queden valores sin registrar y emitiendo alertas oportunas a la alta gerencia frente a lso recuados de cada mes, de manera que se puedan adoptar decisiones que contribuyan a la sostenibilidad financiera de la entidad.</t>
  </si>
  <si>
    <t>De acuerdo con las evidencias presentadas por el proceso, los egresos tesorales del trimestre ascienden a $15.463.914.994, superando el valor proyectado de $12.812.317.697, por lo cual el indicador no se cumple, evidenciándose una ejecución alta del gasto. Asimismo, los ingresos tesorales resultan inferiores al gasto ejecutado, lo que representa un riesgo para la sostenibilidad financiera de la entidad. Se recomienda al proceso emitir alertas tempranas a la alta gerencia frente a estas desviaciones, de manera que se puedan adoptar decisiones oportunas que permitan ajustar la ejecución presupuestal y mitigar los riesgos financieros futuros.</t>
  </si>
  <si>
    <t>Durante el tercer trimestre de la vigencia 2025, no se programaron nuevas auditorías internas en el marco del Plan Anual de Auditorías, dado que la totalidad de las auditorías contempladas en dicho plan fueron ejecutadas y finalizadas durante el segundo trimestre, conforme al cronograma aprobado mediante el Acta No. 1 del Comité Institucional de Coordinación de Control Interno.</t>
  </si>
  <si>
    <t>Se han realizado los siguientes informes y se encuentra cargados en la página web: 
https://csc.gov.co/control-interno/
- Seguimiento Matriz de riesgos 1er cuatrimestre 2025.
- Informe Anual de Mejora 2024.
- Seguimiento Plan Anticorrupción Primer Cuatrimestre 2025.
Por otro lado se esta terminando la construcción de los informes de PQRS - Semestral, el Informe de Austeridad del Gasto – Segundo Trimestre 2025 y el Informe Pormenorizado – Primer Semestre 2025.</t>
  </si>
  <si>
    <t>Teniendo en cuenta que durante el mes de junio se realizó la tercera campaña de autocontrol, en el presente trimestre no se adjunta soporte adicional, dado que dicha actividad ya fue ejecutada y reportada previamente. Actualmente, se encuentra en proceso de elaboración la cuarta y última campaña de autocontrol, la cual será enviada durante el cuarto trimestre de 2025.</t>
  </si>
  <si>
    <t>Para el tercer trimestre no se presenta seguimiento al indicador, debido a que el proceso ejecutó el 100% de las auditorías programadas durante el segundo trimestre y no tiene actividades adicionales previstas para este periodo. Se recomienda al proceso mantener actualizada la programación anual de auditorías.</t>
  </si>
  <si>
    <t>En cumplimiento de lo establecido en el artículo 2 de la Resolución 0278 de 2021, se efectuó de manera adecuada y oportuna el seguimiento semestral y anual al plan de mejoramiento derivado de la auditoría de cumplimiento correspondiente a la vigencia 2022. Este plan será calificado y cerrado formalmente por la Contraloría Departamental durante la visita programada para el año 2025, actualmente en curso.
Asimismo, en julio de 2025 se reportó el primer avance semestral del plan de mejoramiento derivado de la auditoría de cumplimiento de la vigencia 2023, y en la actualidad se adelanta el seguimiento al segundo avance semestral, cuyo reporte está previsto para diciembre de 2025. Como evidencia del cumplimiento de esta actividad, se adjunta el radicado del envío del primer avance del Plan de Mejoramiento.</t>
  </si>
  <si>
    <t>De acuerdo con las evidencias, el proceso presenta el documento con el cual se pretende radicar el seguimiento al plan de mejoramiento; sin embargo, este no puede considerarse verídico, ya que carece de número de radicado y no permite confirmar su presentación formal. Se recomienda al proceso anexar como evidencia el radicado oficial y el documento (excel) del primer avance  semestral al plan de mejoramiento efectivamente radicado ante el ente de control, garantizando la trazabilidad y validez del cumplimiento del indicador.</t>
  </si>
  <si>
    <t>De acuerdo con la revisión de la página, el proceso cumple parcialmente con el indicador, ya que de los 3 informes programados solo se publicaron 2 (seguimiento del segundo cuatrimestre del Plan Anticorrupción y matriz de riesgos), quedando pendiente el informe de austeridad del gasto del tercer trimestre. Adicionalmente, el proceso completó un informe pendiente del periodo anterior (informe semestral de PQRS). Se recomienda elaborar y publicar los informes pendientes y avanzar oportunamente en la construcción de los informes del próximo periodo, garantizando el cumplimiento del cronograma y la trazabilidad de la información institucional.</t>
  </si>
  <si>
    <t>Seguimiento a No Conformidades y Observaciones al corte del tercer trimestre 2025
De acuerdo con el seguimiento realizado, los cinco hallazgos relacionados en el seguimiento del segundo trimestre continúan abiertos, toda vez que reinciden en las auditorías correspondientes a la vigencia 2025 (vigencia auditada 2024). En consecuencia, se continuará con su respectivo seguimiento dentro del archivo “SEGUIMIENTO – ACCIONES CORRECTIVAS Y DE MEJORA 2025 (Vigencia auditada 2024)”, el cual consolida el total de no conformidades y observaciones identificadas en las once auditorías ejecutadas durante la presente vigencia.
Como resultado de dichas auditorías, se obtuvieron 18 no conformidades y 20 observaciones, las cuales serán objeto de seguimiento conforme a la periodicidad y formatos establecidos en el procedimiento CSC-GM-PR-01 – Auditorías Internas, garantizando la trazabilidad, control y cierre oportuno de las acciones correctivas y de mejora formuladas por los procesos auditados.
Adicionalmente, se adjunta el informe consolidado de auditorías, el cual contempla las retroalimentaciones emitidas a todos los procesos frente a las acciones correctivas y de mejora recibidas, permitiendo evidenciar los avances y compromisos asumidos en el marco de cada proceso auditado.
Actualmente, se están terminando de definir algunas acciones correctivas y de mejora, que permanecen en discusión y ajuste, con el fin de precisar las actividades que permitan mitigar de manera efectiva los hallazgos generados y fortalecer los controles institucionales. Así mismo, se adjuntan los correos correspondientes a las gestiones realizadas con los procesos en el marco de la definición de dichas acciones correctivas y/o de mejora, como evidencia del acompañamiento y seguimiento efectuado por la Oficina de Control Interno.
Una vez se cumpla con la ejecución del seguimiento establecido, se compartirán los soportes correspondientes que evidencien el estado y avance de cada hallazgo, en concordancia con los lineamientos del Sistema de Gestión de la Calidad y los registros definidos para tal fin.</t>
  </si>
  <si>
    <t xml:space="preserve">De acuerdo con las evidencias aportadas por el proceso, se evidencia que se está construyendo el seguimiento a las 38 observaciones y no conformidades generadas en la auditoría del año 2025, y que se ha realizado acompañamiento para la correcta definición tanto de las acciones correctivas como de mejora frente a los hallazgos identificados. Por lo anterior, el indicador se cumple, ya que el proceso ha adelantado el seguimiento requerido en esta fase. Se recomienda al proceso continuar con la verificación del avance y aplicación de las acciones definidas, asegurando que los procesos involucrados cumplan con los plazos establecidos. </t>
  </si>
  <si>
    <t>El indicador no se cumple, debido a que el proceso no realizó la campaña de autocontrol correspondiente al tercer trimestre. Si bien se evidencia una campaña ejecutada en junio, esta correspondía a la segunda campaña del año, y otra enviada el 5 de mayo que correspondía a la primera campaña pendiente. Se recuerda al proceso que, de acuerdo con el indicador, deben ejecutarse 4 campañas al año, distribuidas una por trimestre. Se recomienda ajustar la programación interna y asegurar la ejecución oportuna de cada campaña, con el fin de evitar retrasos y garantizar el cumplimiento del indicador en el siguiente periodo.</t>
  </si>
  <si>
    <t>De acuerdo con las evidencias aportadas, el proceso cumple con el indicador, ya que durante el trimestre realizó 3 seguimientos a la rendición de la contratación en la plataforma SIA Observa. Se recomienda que, además de verificar el cumplimiento en los tiempos de rendición, el proceso revise la completitud y oportunidad de la información cargada para cada contrato, con el fin de evitar demoras recurrentes asociadas a registros incompletos y fortalecer la calidad del proceso de rendición contractual.</t>
  </si>
  <si>
    <r>
      <t>Durante el segundo del trimestre del 2025 se radicaron</t>
    </r>
    <r>
      <rPr>
        <b/>
        <sz val="10"/>
        <rFont val="Arial"/>
        <family val="2"/>
      </rPr>
      <t xml:space="preserve"> 3.827</t>
    </r>
    <r>
      <rPr>
        <sz val="10"/>
        <rFont val="Arial"/>
        <family val="2"/>
        <charset val="1"/>
      </rPr>
      <t xml:space="preserve"> PQRSDF que en su totalidad se resolvieron dentro de los términos establecidos.3.812 fueron peticiones,5 quejas,3 reclamos,0 sugerencias,1 denuncia y 6 felicitaciones.
</t>
    </r>
    <r>
      <rPr>
        <b/>
        <sz val="10"/>
        <rFont val="Arial"/>
        <family val="2"/>
      </rPr>
      <t>Julio:</t>
    </r>
    <r>
      <rPr>
        <sz val="10"/>
        <rFont val="Arial"/>
        <family val="2"/>
        <charset val="1"/>
      </rPr>
      <t xml:space="preserve"> Se recibieron </t>
    </r>
    <r>
      <rPr>
        <b/>
        <sz val="10"/>
        <rFont val="Arial"/>
        <family val="2"/>
      </rPr>
      <t>1.313</t>
    </r>
    <r>
      <rPr>
        <sz val="10"/>
        <rFont val="Arial"/>
        <family val="2"/>
        <charset val="1"/>
      </rPr>
      <t xml:space="preserve"> </t>
    </r>
    <r>
      <rPr>
        <b/>
        <sz val="10"/>
        <rFont val="Arial"/>
        <family val="2"/>
      </rPr>
      <t>PQRSDF</t>
    </r>
    <r>
      <rPr>
        <sz val="10"/>
        <rFont val="Arial"/>
        <family val="2"/>
        <charset val="1"/>
      </rPr>
      <t xml:space="preserve">,de las cuales 1.309 fueron peticiones,2 quejas,1 reclamo y 1 denuncia. Los principales canales fueron WhatsApp con </t>
    </r>
    <r>
      <rPr>
        <b/>
        <sz val="10"/>
        <rFont val="Arial"/>
        <family val="2"/>
      </rPr>
      <t>439</t>
    </r>
    <r>
      <rPr>
        <sz val="10"/>
        <rFont val="Arial"/>
        <family val="2"/>
        <charset val="1"/>
      </rPr>
      <t xml:space="preserve"> solicitudes,puntos físicos de atención con</t>
    </r>
    <r>
      <rPr>
        <b/>
        <sz val="10"/>
        <rFont val="Arial"/>
        <family val="2"/>
      </rPr>
      <t xml:space="preserve"> 247</t>
    </r>
    <r>
      <rPr>
        <sz val="10"/>
        <rFont val="Arial"/>
        <family val="2"/>
        <charset val="1"/>
      </rPr>
      <t xml:space="preserve"> solicitudes, línea telefónica con </t>
    </r>
    <r>
      <rPr>
        <b/>
        <sz val="10"/>
        <rFont val="Arial"/>
        <family val="2"/>
      </rPr>
      <t>253</t>
    </r>
    <r>
      <rPr>
        <sz val="10"/>
        <rFont val="Arial"/>
        <family val="2"/>
        <charset val="1"/>
      </rPr>
      <t xml:space="preserve"> y correo de notificaciones judiciales con </t>
    </r>
    <r>
      <rPr>
        <b/>
        <sz val="10"/>
        <rFont val="Arial"/>
        <family val="2"/>
      </rPr>
      <t>25</t>
    </r>
    <r>
      <rPr>
        <sz val="10"/>
        <rFont val="Arial"/>
        <family val="2"/>
        <charset val="1"/>
      </rPr>
      <t xml:space="preserve"> y correo de atención al cliente con </t>
    </r>
    <r>
      <rPr>
        <b/>
        <sz val="10"/>
        <rFont val="Arial"/>
        <family val="2"/>
      </rPr>
      <t>329</t>
    </r>
    <r>
      <rPr>
        <sz val="10"/>
        <rFont val="Arial"/>
        <family val="2"/>
        <charset val="1"/>
      </rPr>
      <t xml:space="preserve"> y página web con </t>
    </r>
    <r>
      <rPr>
        <b/>
        <sz val="10"/>
        <rFont val="Arial"/>
        <family val="2"/>
      </rPr>
      <t>17</t>
    </r>
    <r>
      <rPr>
        <sz val="10"/>
        <rFont val="Arial"/>
        <family val="2"/>
        <charset val="1"/>
      </rPr>
      <t xml:space="preserve">.El </t>
    </r>
    <r>
      <rPr>
        <b/>
        <sz val="10"/>
        <rFont val="Arial"/>
        <family val="2"/>
      </rPr>
      <t>85%</t>
    </r>
    <r>
      <rPr>
        <sz val="10"/>
        <rFont val="Arial"/>
        <family val="2"/>
        <charset val="1"/>
      </rPr>
      <t xml:space="preserve"> de las solicitudes correspondieron al área de atención al cliente.
</t>
    </r>
    <r>
      <rPr>
        <b/>
        <sz val="10"/>
        <rFont val="Arial"/>
        <family val="2"/>
      </rPr>
      <t>Agosto</t>
    </r>
    <r>
      <rPr>
        <sz val="10"/>
        <rFont val="Arial"/>
        <family val="2"/>
        <charset val="1"/>
      </rPr>
      <t xml:space="preserve">: Se gestionaron </t>
    </r>
    <r>
      <rPr>
        <b/>
        <sz val="10"/>
        <rFont val="Arial"/>
        <family val="2"/>
      </rPr>
      <t>1.361</t>
    </r>
    <r>
      <rPr>
        <sz val="10"/>
        <rFont val="Arial"/>
        <family val="2"/>
        <charset val="1"/>
      </rPr>
      <t xml:space="preserve"> </t>
    </r>
    <r>
      <rPr>
        <b/>
        <sz val="10"/>
        <rFont val="Arial"/>
        <family val="2"/>
      </rPr>
      <t>PQRSDF</t>
    </r>
    <r>
      <rPr>
        <sz val="10"/>
        <rFont val="Arial"/>
        <family val="2"/>
        <charset val="1"/>
      </rPr>
      <t xml:space="preserve">, de las cuales 1.358 fueron peticiones y 1 queja y 2 felicitaciones.El canal más utilizado fue WhatsApp con </t>
    </r>
    <r>
      <rPr>
        <b/>
        <sz val="10"/>
        <rFont val="Arial"/>
        <family val="2"/>
      </rPr>
      <t>435</t>
    </r>
    <r>
      <rPr>
        <sz val="10"/>
        <rFont val="Arial"/>
        <family val="2"/>
        <charset val="1"/>
      </rPr>
      <t xml:space="preserve"> solicitudes, seguido por los puntos físicos de atención con </t>
    </r>
    <r>
      <rPr>
        <b/>
        <sz val="10"/>
        <rFont val="Arial"/>
        <family val="2"/>
      </rPr>
      <t>287</t>
    </r>
    <r>
      <rPr>
        <sz val="10"/>
        <rFont val="Arial"/>
        <family val="2"/>
        <charset val="1"/>
      </rPr>
      <t>, correo electrónico con</t>
    </r>
    <r>
      <rPr>
        <b/>
        <sz val="10"/>
        <rFont val="Arial"/>
        <family val="2"/>
      </rPr>
      <t xml:space="preserve"> 372</t>
    </r>
    <r>
      <rPr>
        <sz val="10"/>
        <rFont val="Arial"/>
        <family val="2"/>
        <charset val="1"/>
      </rPr>
      <t xml:space="preserve">, línea telefónica con218, correo de notificacionesjudiciales@csc.gov.co con </t>
    </r>
    <r>
      <rPr>
        <b/>
        <sz val="10"/>
        <rFont val="Arial"/>
        <family val="2"/>
      </rPr>
      <t>26</t>
    </r>
    <r>
      <rPr>
        <sz val="10"/>
        <rFont val="Arial"/>
        <family val="2"/>
        <charset val="1"/>
      </rPr>
      <t xml:space="preserve"> y página web con</t>
    </r>
    <r>
      <rPr>
        <b/>
        <sz val="10"/>
        <rFont val="Arial"/>
        <family val="2"/>
      </rPr>
      <t xml:space="preserve"> 22</t>
    </r>
    <r>
      <rPr>
        <sz val="10"/>
        <rFont val="Arial"/>
        <family val="2"/>
        <charset val="1"/>
      </rPr>
      <t xml:space="preserve"> solicitudes. El 87% de las solicitudes fueron gestionadas por el área de atención al cliente, seguido por el área de cartera con un 7%,área jurídica y Subgerencia Administrativa.
</t>
    </r>
    <r>
      <rPr>
        <b/>
        <sz val="10"/>
        <rFont val="Arial"/>
        <family val="2"/>
      </rPr>
      <t>Septiembre:</t>
    </r>
    <r>
      <rPr>
        <sz val="10"/>
        <rFont val="Arial"/>
        <family val="2"/>
        <charset val="1"/>
      </rPr>
      <t xml:space="preserve"> Se radicaron </t>
    </r>
    <r>
      <rPr>
        <b/>
        <sz val="10"/>
        <rFont val="Arial"/>
        <family val="2"/>
      </rPr>
      <t>1.153 PQRSDF</t>
    </r>
    <r>
      <rPr>
        <sz val="10"/>
        <rFont val="Arial"/>
        <family val="2"/>
        <charset val="1"/>
      </rPr>
      <t>,de las cuales 1.145 fueron peticiones,2 quejas, 2 reclamos y 4 felicitaciones, siendo WhatsApp el canal más utilizado por los afiliados el correo electrónico de atención al cliente con</t>
    </r>
    <r>
      <rPr>
        <b/>
        <sz val="10"/>
        <rFont val="Arial"/>
        <family val="2"/>
      </rPr>
      <t xml:space="preserve"> 335</t>
    </r>
    <r>
      <rPr>
        <sz val="10"/>
        <rFont val="Arial"/>
        <family val="2"/>
        <charset val="1"/>
      </rPr>
      <t xml:space="preserve"> solicitudes seguido por la atención presencial en las dos sedes de la ¨CSC¨ con</t>
    </r>
    <r>
      <rPr>
        <b/>
        <sz val="10"/>
        <rFont val="Arial"/>
        <family val="2"/>
      </rPr>
      <t xml:space="preserve"> 306  </t>
    </r>
    <r>
      <rPr>
        <sz val="10"/>
        <rFont val="Arial"/>
        <family val="2"/>
      </rPr>
      <t xml:space="preserve">solicitudes gestionadas y la </t>
    </r>
    <r>
      <rPr>
        <sz val="10"/>
        <rFont val="Arial"/>
        <family val="2"/>
        <charset val="1"/>
      </rPr>
      <t>línea telefónica con</t>
    </r>
    <r>
      <rPr>
        <b/>
        <sz val="10"/>
        <rFont val="Arial"/>
        <family val="2"/>
      </rPr>
      <t xml:space="preserve"> 283</t>
    </r>
    <r>
      <rPr>
        <sz val="10"/>
        <rFont val="Arial"/>
        <family val="2"/>
        <charset val="1"/>
      </rPr>
      <t xml:space="preserve">. El </t>
    </r>
    <r>
      <rPr>
        <b/>
        <sz val="10"/>
        <rFont val="Arial"/>
        <family val="2"/>
      </rPr>
      <t>86%</t>
    </r>
    <r>
      <rPr>
        <sz val="10"/>
        <rFont val="Arial"/>
        <family val="2"/>
        <charset val="1"/>
      </rPr>
      <t xml:space="preserve"> de las peticiones fueron gestionadas por el área de atención al cliente, seguida por el área de cartera con una participación del </t>
    </r>
    <r>
      <rPr>
        <b/>
        <sz val="10"/>
        <rFont val="Arial"/>
        <family val="2"/>
      </rPr>
      <t>7%</t>
    </r>
  </si>
  <si>
    <r>
      <t>Durante el mes de Julio,Agosto y Septiembre de 2025, fueron diligenciadas 340</t>
    </r>
    <r>
      <rPr>
        <b/>
        <sz val="10"/>
        <rFont val="Arial"/>
        <family val="2"/>
      </rPr>
      <t xml:space="preserve"> encuestas</t>
    </r>
    <r>
      <rPr>
        <sz val="10"/>
        <rFont val="Arial"/>
        <family val="2"/>
      </rPr>
      <t xml:space="preserve">.
</t>
    </r>
    <r>
      <rPr>
        <b/>
        <sz val="10"/>
        <rFont val="Arial"/>
        <family val="2"/>
      </rPr>
      <t xml:space="preserve">Conclusiones Generales:
</t>
    </r>
    <r>
      <rPr>
        <sz val="10"/>
        <rFont val="Arial"/>
        <family val="2"/>
      </rPr>
      <t xml:space="preserve">• Los servicios más utilizados en el trimestre fueron los relacionados con 
créditos, tanto información como radicación. 
• SEPTIEMBRE muestra el nivel más alto de solicitudes de información de 
créditos (36,92%). 
• Las cancelaciones de hipoteca se mantienen en segundo lugar en julio y 
septiembre. 
• En agosto destaca el uso de asesoría (22,14%), mientras que en septiembre 
cae a 0%. 
• Servicios como cuota de más, paz y salvo y acuerdo de pago presentan uso bajo o nulo.
</t>
    </r>
    <r>
      <rPr>
        <b/>
        <sz val="10"/>
        <rFont val="Arial"/>
        <family val="2"/>
      </rPr>
      <t>CONCLUSIONES</t>
    </r>
    <r>
      <rPr>
        <sz val="10"/>
        <rFont val="Arial"/>
        <family val="2"/>
      </rPr>
      <t>:
• El trimestre muestra un desempeño excelente en satisfacción del usuario. 
• Los niveles de “muy satisfecho” superan el 90% en todos los meses. 
• Los servicios financieros siguen siendo los más demandados. 
• Se evidencia trato amable, claro y eficiente en todas las sedes. 
• La institución demuestra inclusión y atención equitativa.</t>
    </r>
  </si>
  <si>
    <r>
      <t xml:space="preserve">En el plan de medios del tercer  trimestre de 2025, se plantearon un total de 17 actividades estratégicas orientadas a fortalecer la atención al cliente y consolidar la presencia de la Corporación Social de Cundinamarca (CSC) en la región. De estas actividades, se lograron ejecutar las 17 con éxito durante los meses de julio,agosto y septiembre.
Las actividades realizadas incluyeron contenido en redes sociales,envío permanente de información por correo y WhatsApp,campañas digitales en redes sociales para posicionar la CSC,comunicados y material fotográfico para enviar a prensa central,envío de piezas comunicativas a los correos de los afiliados,actualización página web,se realiza la evaluación e informe mensual del seguimiento del plan de comunicaciones,seguimiento mensual de PQRSDF
En cuanto a </t>
    </r>
    <r>
      <rPr>
        <b/>
        <sz val="10"/>
        <rFont val="Arial"/>
        <family val="2"/>
      </rPr>
      <t>LA PARTICIPACIÓN EN EVENTOS DEPARTAMENTALES</t>
    </r>
    <r>
      <rPr>
        <sz val="10"/>
        <rFont val="Arial"/>
        <family val="2"/>
        <charset val="1"/>
      </rPr>
      <t>:
En este tercer trimestre se realizó el 8 de julio la</t>
    </r>
    <r>
      <rPr>
        <b/>
        <sz val="10"/>
        <rFont val="Arial"/>
        <family val="2"/>
      </rPr>
      <t xml:space="preserve"> FERIA MUNICIPIO</t>
    </r>
    <r>
      <rPr>
        <sz val="10"/>
        <rFont val="Arial"/>
        <family val="2"/>
        <charset val="1"/>
      </rPr>
      <t xml:space="preserve"> DE UNE
El 15 de agosto participación en </t>
    </r>
    <r>
      <rPr>
        <b/>
        <sz val="10"/>
        <rFont val="Arial"/>
        <family val="2"/>
      </rPr>
      <t>CUNDIPAPA.</t>
    </r>
    <r>
      <rPr>
        <sz val="10"/>
        <rFont val="Arial"/>
        <family val="2"/>
        <charset val="1"/>
      </rPr>
      <t xml:space="preserve">
Y SOBRE  LA </t>
    </r>
    <r>
      <rPr>
        <b/>
        <sz val="10"/>
        <rFont val="Arial"/>
        <family val="2"/>
      </rPr>
      <t xml:space="preserve"> CAPACITACIÓN DEL PERSONAL Y FORTALECIMIENTO DE LOS CANALES DE ATENCIÓN AL CLIENTE</t>
    </r>
    <r>
      <rPr>
        <sz val="10"/>
        <rFont val="Arial"/>
        <family val="2"/>
        <charset val="1"/>
      </rPr>
      <t>, LÍNEA TELEFÓNICA, COMUNICACIÓN ASERTIVA, ENTRE OTRO,se realizaron las siguientes actividades:
JULIO
•El 25 de julio se realizó la Capacitación sobre la actualización del procedimiento de PQRS, Manual de PQRS y Actualización de salidas no conformes y acciones correctiva. Esta capacitación estuvo dirigida al equipo de la Oficina de Prensa y Atención al Cliente de la CSDC.
AGOSTO
•El 27 de agosto se realizó la Capacitación sobre el tema de la AUTOESTIMA, dirigida al equipo de la Oficina de Prensa y Atención al Cliente, donde se realizó una introducción sobre el tema y una actividad de relajación y conocimiento de cada una de las mentas que participaron en la capacitación.
SEPTIEMBRE
.25 de Septiembre : Realización Capacitación  “ Atención Al Cliente” en actividad de Integración Restaurante 3 Soles en Chía para funcionarios y contratistas de la “CSC”.</t>
    </r>
  </si>
  <si>
    <r>
      <t xml:space="preserve">Durante los meses de julio,agosto y septiembre  de 2025, la Corporación Social de Cundinamarca (CSC) realizó un total de </t>
    </r>
    <r>
      <rPr>
        <b/>
        <sz val="10"/>
        <rFont val="Arial"/>
        <family val="2"/>
      </rPr>
      <t>230 nuevas afiliaciones</t>
    </r>
    <r>
      <rPr>
        <sz val="10"/>
        <rFont val="Arial"/>
        <family val="2"/>
      </rPr>
      <t xml:space="preserve">, superando la meta trimestral de 150 reflejando la confianza de los funcionarios públicos en los servicios ofrecidos.
</t>
    </r>
    <r>
      <rPr>
        <b/>
        <sz val="10"/>
        <rFont val="Arial"/>
        <family val="2"/>
      </rPr>
      <t>Julio</t>
    </r>
    <r>
      <rPr>
        <sz val="10"/>
        <rFont val="Arial"/>
        <family val="2"/>
      </rPr>
      <t xml:space="preserve">: Se llevaron a cabo </t>
    </r>
    <r>
      <rPr>
        <b/>
        <sz val="10"/>
        <rFont val="Arial"/>
        <family val="2"/>
      </rPr>
      <t>78 nuevas afiliaciones</t>
    </r>
    <r>
      <rPr>
        <sz val="10"/>
        <rFont val="Arial"/>
        <family val="2"/>
      </rPr>
      <t xml:space="preserve"> desmostrando que la CSC sigue siendo una opción confiable y valorada en la región.Se realiza la </t>
    </r>
    <r>
      <rPr>
        <b/>
        <sz val="10"/>
        <rFont val="Arial"/>
        <family val="2"/>
      </rPr>
      <t xml:space="preserve"> FERIA MUNICIPIO DE UNE</t>
    </r>
    <r>
      <rPr>
        <sz val="10"/>
        <rFont val="Arial"/>
        <family val="2"/>
      </rPr>
      <t xml:space="preserve">
</t>
    </r>
    <r>
      <rPr>
        <b/>
        <sz val="10"/>
        <rFont val="Arial"/>
        <family val="2"/>
      </rPr>
      <t>Agosto</t>
    </r>
    <r>
      <rPr>
        <sz val="10"/>
        <rFont val="Arial"/>
        <family val="2"/>
      </rPr>
      <t>: El número  es de</t>
    </r>
    <r>
      <rPr>
        <b/>
        <sz val="10"/>
        <rFont val="Arial"/>
        <family val="2"/>
      </rPr>
      <t xml:space="preserve"> 63 nuevas afiliaciones</t>
    </r>
    <r>
      <rPr>
        <sz val="10"/>
        <rFont val="Arial"/>
        <family val="2"/>
      </rPr>
      <t xml:space="preserve"> mostró una leve disminución  respecto al mes anterior.
</t>
    </r>
    <r>
      <rPr>
        <b/>
        <sz val="10"/>
        <rFont val="Arial"/>
        <family val="2"/>
      </rPr>
      <t>Septiembre:</t>
    </r>
    <r>
      <rPr>
        <sz val="10"/>
        <rFont val="Arial"/>
        <family val="2"/>
      </rPr>
      <t xml:space="preserve">  Se realizaron</t>
    </r>
    <r>
      <rPr>
        <b/>
        <sz val="10"/>
        <rFont val="Arial"/>
        <family val="2"/>
      </rPr>
      <t xml:space="preserve"> 89 afiliaciones</t>
    </r>
    <r>
      <rPr>
        <sz val="10"/>
        <rFont val="Arial"/>
        <family val="2"/>
      </rPr>
      <t>, las ferias de servicios organizadas en este mes permitieron acercar la oferta de la CSC a usuarios actuales y potenciales, impulsando la difusión de sus productos y servicios.</t>
    </r>
  </si>
  <si>
    <t xml:space="preserve"> Se remite informe en excell del seguimiento y control a los procesos en los cuales se decretó el desistimiento tácito junto con  informe de la eventual  gestiòn a seguir y/o tramite  correspondiente. 
La Oficina  Asesora  Juridica, atendiendo la recomendaciòn efectuada por la Oficina de Planeaciòn, en el sentido de implementar un sistema de seguimiento en línea que le permita ser más eficiente, o en su defecto, generar nuevas estrategias que faciliten el control oportuno de todos los procesos, tanto en Bogotá como en los municipios del Departamento,  el 9 de septiembre del 2025  se remitieron los estudios previos, la ficha tècnica y cotizaciones  a la Oficina Asesora de Contrataciòn  para  contratar  los servicios  de una empresa  que  ofrezca  tecnología informática y creación de herramientas y aplicativos de apoyo judicial en línea, de manera oportuna para vigilar los  diferentes procesos.</t>
  </si>
  <si>
    <r>
      <t>Se efectuaron por los contratistas encargados de apoyo a la supervisión de la representación judicial</t>
    </r>
    <r>
      <rPr>
        <sz val="10"/>
        <rFont val="Arial"/>
        <family val="2"/>
      </rPr>
      <t xml:space="preserve"> </t>
    </r>
    <r>
      <rPr>
        <b/>
        <sz val="10"/>
        <rFont val="Arial"/>
        <family val="2"/>
      </rPr>
      <t xml:space="preserve"> 1840</t>
    </r>
    <r>
      <rPr>
        <sz val="10"/>
        <rFont val="Arial"/>
        <family val="2"/>
      </rPr>
      <t xml:space="preserve">  </t>
    </r>
    <r>
      <rPr>
        <sz val="10"/>
        <rFont val="Arial"/>
        <family val="2"/>
        <charset val="1"/>
      </rPr>
      <t>consultas de procesos en la plataforma de la Rama Judicial: 
C</t>
    </r>
    <r>
      <rPr>
        <sz val="10"/>
        <color theme="1" tint="4.9989318521683403E-2"/>
        <rFont val="Arial"/>
        <family val="2"/>
      </rPr>
      <t>ristian Javier Velandia Urbina realizó 150 consultas en la plataforma de la rama judicial
Camilo Andres Angel realizó 412 consultas en la plataforma de la rama judicial
Gabriela Garzòn realizó 1042 consultas en la plataforma de la rama judicial
Monica  Bohorquez Guisa realizó 206 consultas en la plataforma de la rama judicial</t>
    </r>
    <r>
      <rPr>
        <sz val="10"/>
        <rFont val="Arial"/>
        <family val="2"/>
        <charset val="1"/>
      </rPr>
      <t xml:space="preserve">
Las evidencias del indicador de la gestión jurídica de los procesos pueden ser consultadas en la dirección electrónica del drive REVISION ESTADO DE PROCESOS  JULIO, AGOSTO Y SEPTIEMBRE  DEL 2025, cuyas bases contiene a su vez las evidencias respectivas, quien tiene acceso el doctor Carlos Francisco Buitrago, asesor de gerencia. </t>
    </r>
  </si>
  <si>
    <t>Se efectuaron nueve (9) sesiones del Comité de Conciliación y Defensa Judicial en  el tercer trimestre del 2025 (julio a septiembre del 2025)
Acta No.13 del Comite de Conciliación y Defensa Judicial del 25 de julio del  2025
Acta No.14 del Comite de Conciliación y Defensa Judicial del 30 de julio del  2025
Acta No.15 del Comite de Conciliación y Defensa Judicial del 31 de julio del  2025
Acta No.16 del Comite de Conciliación y Defensa Judicial del 21 de agosto del  2025
Acta No.17 del Comite de Conciliación y Defensa Judicial del 28 de agosto del  2025
Acta No.18 del Comite de Conciliación y Defensa Judicial del 1 de septiembre del  2025
Acta No.19 del Comite de Conciliación y Defensa Judicial del 17 de septiembre del  2025
Acta No.20 del Comite de Conciliación y Defensa Judicial del 24 de septiembre del  2025
Acta No.21 del Comite de Conciliación y Defensa Judicial del 26 de septiembe del  2025</t>
  </si>
  <si>
    <t>De acuerdo con los informes presentados por el proceso, el indicador se cumple, ya que durante el periodo se radicaron 3.827 PQRSDF y todas fueron atendidas dentro de los términos establecidos. Estas fueron distribuidas así: 3.812 peticiones, 5 quejas, 3 reclamos, 0 sugerencias, 1 denuncia y 6 felicitaciones. Se recomienda al proceso mantener la gestión oportuna de las solicitudes y continuar fortaleciendo los mecanismos de seguimiento para garantizar que la atención se siga realizando dentro de los plazos definidos.</t>
  </si>
  <si>
    <t>De acuerdo con las evidencias aportadas, el proceso cumple parcialmente con el indicador, ya que de las 16 actividades programadas en el plan de medios y marketing para el periodo, se realizaron 13, quedando pendientes las relacionadas con el boletín informativo (solo se recibieron 6 de los 10 previstos en el año, la plataforma de PQRS y la app para atención al cliente. Se recomienda al proceso priorizar la gestión de las actividades faltantes, definiendo un plan claro de ejecución y seguimiento que permita cerrar brechas en el próximo trimestre y asegurar el cumplimiento total del plan establecido.</t>
  </si>
  <si>
    <t>De acuerdo con las evidencias aportadas, el proceso cumple con el indicador, ya que tenía programadas 150 nuevas afiliaciones y logró realizar 230, superando la meta establecida gracias a las diferentes ferias y actividades de promoción de la entidad. Se recomienda al proceso continuar fortaleciendo las estrategias de promoción y captación, priorizando aquellos espacios que han demostrado mayor efectividad para mantener y ampliar este nivel de desempeño en el siguiente trimestre.</t>
  </si>
  <si>
    <t xml:space="preserve">Falta completar el consolidado de la encuentas de todo el trimestre </t>
  </si>
  <si>
    <t>De acuerdo con las evidencias, el proceso cumple con el indicador, ya que debía beneficiar a 50 afiliados con actividades de bienestar y logró impactar a 108, a través de diversas actividades de capacitación. No obstante, se evidencia que, aunque el proceso ha generado varias alianzas, estas aún no están siendo difundidas entre los afiliados, lo que limita su alcance y aprovechamiento. Se recomienda fortalecer la estrategia de divulgación de las alianzas y actividades disponibles, garantizando que los afiliados conozcan oportunamente la oferta y puedan acceder a los beneficios gestionados.</t>
  </si>
  <si>
    <t xml:space="preserve">De acuerdo con las evidencias aportadas, el indicador se cumple, ya que el proceso debía realizar el seguimiento a 12 planes de los cuales se encuentra el registro de  todos los seguimientos con un promedio de ejecución del   54% aproximadamente. Se recomienda al proceso realizar seguimiento y apoyo a aquellos planes con bajos porcentajes de avance. </t>
  </si>
  <si>
    <t>El indicador cumple con la meta establecida, ya que se alcanzó un 98.5% de desgloses durante el tercer trimestre, superando la meta del 95% y evidenciando una gestión efectiva en la articulación con las pagadurías. No obstante, se recomienda continuar avanzando en las acciones necesarias para legalizar los ingresos pendientes, especialmente aquellos asociados a las pagadurías de Girardot, Departamento de Cundinamarca y Facatativá, con el fin de garantizar la trazabilidad y el saneamiento oportuno de la información financiera.</t>
  </si>
  <si>
    <t>De acuerdo con las evidencias aportadas, el indicador se cumple, sin ebargo de los 39 mantenimientos preventivos programados solo se evidencian 36 realizados. Se recomienda al proceso utilizar los formatos de calidad para la programación de los mantenimientos, así como mejorar la organización del cronograma y la ejecución de las actividades, con el fin de asegurar el cumplimiento total y fortalecer la trazabilidad en los próximos periodos.</t>
  </si>
  <si>
    <t>De acuerdo con las evidencias aportadas, el indicador se cumple parcialmente, ya que de las 10 actividades programadas solo se evidencian 7 ejecutadas. Además, se presentan inconsistencias relevantes: algunas evidencias no están completas, otras corresponden a actividades de planes distintos y, en el caso del registro de ausentismo, la plataforma no se encuentra en funcionamiento. A esto se suma que la modificación del cronograma no fue aprobada por el último Comité Institucional de Gestión y Desempeño, lo que afecta la validez del avance reportado. Se recomienda al proceso mejorar la organización y trazabilidad de las evidencias, asegurando que correspondan exclusivamente a las actividades del plan y estén debidamente soportadas, así como ajustar y tramitar adecuadamente cualquier cambio de cronograma para su aprobación formal.</t>
  </si>
  <si>
    <t>De acuerdo con las evidencias presentadas, el proceso cumple parcialmente con el indicador, ya que elaboró 12 conciliaciones bancarias completas de las 17 cuentas activas de la entidad hasta septiembre. Se recomienda al proceso adelantar oportunamente el registro en libros de los movimientos identificados en las conciliaciones, incluyendo rendimientos financieros y otros ajustes, para evitar retrasos y asegurar que la información contable refleje valores reales y actualizados. Asimismo, se sugiere completar las conciliaciones pendientes de las cuentas que solo registran avance hasta junio y julio, con el fin de alcanzar el total de las cuentas conciliadas. Se avanza en el cumplimient de trimestres anteriores.</t>
  </si>
  <si>
    <t>De acuerdo con el reporte TES-105, al 30 de septiembre de 2025 el proceso registraba 29 consignaciones sin identificar y, a inicios de octubre, esta cifra disminuyó a 14. Aunque el reporte es dinámico y varía constantemente, se evidencian registros de periodos anteriores que aún no han sido gestionados. No obstante, se considera que el proceso cumple con el indicador. Se recomienda al proceso mantener la gestión oportuna de estas consignaciones, priorizando la depuración de los registros anteriores, ya que su identificación contribuye a descongestionar las cuentas, evita el reporte de saldos erróneos a los deudores y mejora la calidad de la información en los estados de cartera.</t>
  </si>
  <si>
    <t>El indicador cumple con lo establecido, ya que se evidencia que se realizó el seguimiento al Plan de Acción de la entidad correspondiente al  tercer  trimestre de 2025, cuyo avance total fue del 61.66%.
Se sugiere al proceso realizar el seguimiento en una fecha más cercana al cierre del periodo, con el fin de socializar oportunamente los resultados con los procesos y permitir que, de ser necesario, se realicen los ajustes pertinentes para los siguientes trimestres. Queda pendiente dar avance al indicador de satisfacción del cliente porque el informe esta incompleto, asi como la información del proceso de jurídica.</t>
  </si>
  <si>
    <t>OBSERVACIONES 4TO. TRIMESTRE (Cada Proceso)</t>
  </si>
  <si>
    <t>OBSERVACIONES 4TO. TRIMESTRE (Planeación)</t>
  </si>
  <si>
    <t>En el cuarto trimestre 2025, se entregamos 2,000 incentivos navideños, 60 kits para las personas que realizaron los cursos y seminarios, 26 kits a los beneficiados a los subsidios ICFES, 33 personas beneficidas de conferencias, 464 personas inscritas a los cursos postulados y 600 herramientas tecnologicas. para un total de 3,183 beneficiados.</t>
  </si>
  <si>
    <t xml:space="preserve">En  el cuarto trimestre  de 2025 a través de 19 asesores comerciales se relizaron 304  visitas a 86 municipios del departamento de los 16 programados,  encaminadas a difundir y promocionar el portafolio de servicios de la entidad. Asesorando y tramitando tanto créditos como afiliaciones. </t>
  </si>
  <si>
    <t>En el segundo semestre de 2025 se giraron 54 subsidios de los cuales 21 corresponden a nuevos beneficiados y 33 subsiidos que ya contaban con el beneficio.</t>
  </si>
  <si>
    <t>En el  cuarto trimestre de 2025 se radicaron 294 crèditos, se aprobaron 340 y  desembolsaron  340 creditos. Se alcanzò a cubrir la meta de 300 que estaban programados en el trimestre.</t>
  </si>
  <si>
    <t>De los 340 créditos desembolsados durante el  cuarto trimestre de 2025, 20 corresponde a créditos de vivienda hipotecarios de los cuales   09 fueron desembolsados en un periodo menor a 60 dias Y 11 fueron girados en tiempos superior a  60 dìas, dando un cumplimiento del 45%.</t>
  </si>
  <si>
    <t>De los 340 créditos desembolsados durante el  cuarto trimestre de 2025, 320 corresponde a crédito de consumo de los cuales  los 277 fueron desembolsados en un periodo menor a 30 dias  y 43 fueron girados en tiempo superios a 30 diàs, dando un cumplimiento del 85%. Las  demoras en los tràmites  de crèditos  se debe en ocasiones  a que se dificulta la comunicaciòn con las pagadurìas y con los afiliados para verificar informaciòn,tambien presenta  demora en allegar  pagares autenticados y libranzas autorizadas, a que los documentos  llegan ilegibles o incompletos y a la demora en la legalizaciòn de polizas por extraprima</t>
  </si>
  <si>
    <t>El indicador correspondiente al cuarto trimestre arrojó un resultado del 32%, lo que representa una disminución del 1% respecto al periodo anterior. Esta variación se atribuye a la implementación del programa de alivio financiero establecido mediante la Resolución 01187 de 2025. En consecuencia, la Oficina Asesora Jurídica deberá continuar con las acciones necesarias para cumplir con la meta establecida.</t>
  </si>
  <si>
    <t>El indicador dio como resultado del tercer  trimestre un 98% , por la gestión que desde la Unidad de cartera y Ahorros se está realizando con las pagadurias.</t>
  </si>
  <si>
    <t>El área de almacén general recibió en el cuarto trimestre 19 solicitudes de elementos de papelería de las diferentes áreas de la csc, las cuales se despacharon en su totalidad. (se anexa reporte de interface salidas de consumo Novasoft).</t>
  </si>
  <si>
    <t xml:space="preserve">Se cumple con la actividad programada "actualizar los inventarios individuales de los funcionarios de planta" al cierre del año 2025 la planta estaba conformada por 54 funcionarios de los cuales se actualizaron 54 inventarios. </t>
  </si>
  <si>
    <t>Se realizaron los 3 reportes mensuales en el sistema Novasoft donde se verifica las entradas y salidas del almacén en elementos de consumo y elementos devolutivos del cuarto trimestre del año en curso. (reporte de Novasoft).</t>
  </si>
  <si>
    <t>En el cuarto trimestre del año 2025 se programaron 7 actividades en el cronograma del PIGA del cual se cumplieron 6 actividades, ítem 1,3 y 5 mediante envió de correos de sensibilización del 19 de septiembre las actividades 2 y 4 se consolida la información a noviembre del 2025 y en la actividad 6 se verificaron 77 puestos de trabajo en compañía del copaso de la entidad.</t>
  </si>
  <si>
    <t>En atención al seguimiento del Plan de Acción de Seguridad y Salud en el Trabajo correspondiente al cuarto trimestre de la vigencia 2025, y de conformidad con la solicitud de modificación previamente solicitada y que no fue aprobada, se cuenta con evidencia que respalda el cumplimiento del 100 % de las actividades programadas para el periodo. Si bien algunas de estas actividades no se ejecutaron en las fechas inicialmente establecidas, la modificación del plan fue necesaria precisamente para reflejar de manera clara y coherente su ejecución, teniendo en cuenta que las observaciones formuladas en trimestres anteriores implicaron el traslado de actividades a otros meses, conforme a lo concertado con el área de Planeación. Para este trimestre se contemplaron diez (10) actividades específicas, de las cuales la mayoría fueron ejecutadas conforme a lo programado; algunas se realizaron según necesidad, otras no tuvieron ocurrencia o asistencia, y en el caso de la autoevaluación de estándares mínimos, se autorizó la ampliación del plazo para enero. En este sentido, aunque la matriz inicial refleje un número diferente de actividades programadas, la ejecución se mantuvo conforme a la modificación solicitada y aprobada, garantizando el cumplimiento integral del plan.</t>
  </si>
  <si>
    <t xml:space="preserve">Las incapacidades registradas corresponden a las recibidas e ingresadas al sistema de acuerdo al cronograma de nómina; se presentan 3 incapacidades. Se realiza seguimiento a los trámites mediante la página web de cada EPS. Se valida el pago correspondiente de las mismas y de 2 pendientes de pago del periodo  anterior </t>
  </si>
  <si>
    <t>Para este periodo no existen actividades de cronograma de EDL APP, teniendo en cuenta  que el seguimiento se realizó  en el mes de AGOSTO del año 2025.</t>
  </si>
  <si>
    <t>En cuanto al Plan de Acción para el cumplimiento de los Acuerdos de Gestión de la vigencia 2025, se informa que, de acuerdo con la evidencia disponible, se han presentado dificultades para la realización oportuna del seguimiento y la aplicación de la prueba de evaluación de desempeño en dos (2) momentos del año, lo cual ha incidido directamente en el nivel de cumplimiento reportado, toda vez que únicamente fue posible la aplicación de una (1) encuesta de evaluación de desempeño durante la vigencia. En este sentido, se solicitará al área de Planeación la reevaluación de la periodicidad establecida para dicha actividad, considerando que su aplicación semestral presenta limitaciones operativas. No obstante, el seguimiento a los compromisos asociados a cada pilar sí puede evidenciarse mediante los soportes y evidencias remitidos por las demás áreas, los cuales permiten verificar el cumplimiento de las actividades acordadas. Para el último trimestre no se reporta avance, dado que no se cuenta con la participación ni retroalimentación de pares y directivos en la evaluación correspondiente, situación que evidencia que esta actividad administrativa suele ser postergada y concentrada al cierre del año, dificultando su cumplimiento al 100 %. Sin perjuicio de lo anterior, se procederá a solicitar formalmente, mediante correo electrónico, a los directivos de la entidad el envío de las evidencias consolidadas de las actividades ejecutadas durante la vigencia 2025.</t>
  </si>
  <si>
    <t xml:space="preserve">Se remitieron informes a los entes de control tales como el Chip/Cuipo/CGN/Contraloría Departamental /Secretaría de Hacienda/ requeridos en el tercer trimestre del  2025. Además se realiza la presentación de los impuestos de retención en la fuente (RTE FTE) y retención ICA (RTE ICA) ante la DIAN en los meses correspondientes. Se encuentran pendientes los reportes con la información del mes de diciembre. </t>
  </si>
  <si>
    <t>Las conciliaciones bancarias se realizan mensualmente con fecha de corte al mes inmediatamente anterior en sinergia con el área de tesorería de la Entidad. Sin embargo  a la fecha se esta trabajando en las conciliaciones del mes de Diciembre.</t>
  </si>
  <si>
    <t>Para el cuarto trimetre de 2025, el recaudo tuvo un ligero incremento y esto corresponde al alivio económico otorgado a los deudores quienes al final del año decidieron acogerse , pero aún se encuentra por debajo de lo presupuestado (7%), es decir se presupuestó 12.878.350,000 PAC y solamente se recaudó tesoralmente $ 12.023.217,449 lo cual representa un cumplimiento del 93.36%  en el trimestre.
El porcentaje acumulado a diciembre de 2025 se encuentra en 81.97%, muy por debajo de lo proyectado (100%), el trabajo de la oficina jurídica y el equipo de abogados de cobranza logró algunos resultados los cuales permitieron mejorar el recaudo del último trimestre, sin embargo son insuficientes para lograr las metas proyectadas por la alta Gerencia.</t>
  </si>
  <si>
    <t xml:space="preserve">El porcentaje de gastos ejecutados frente a los ingresos durante el cuarto trimestre fue superior al 33%, porcentaje que incrementa el déficit tesoral y hace que al final del año  sea del 16,85%, a pesar que en el último mes de 2025 los ingresos tuvieron un ligera mejoría.                                                                 El acumulado de gastos a diciembre de 2025 es (94.84%), se evidencia un gasto desproporcionado frente a los ingresos tesorales y como lo advertimos en el tercer trimestre de 2025, existe un riesgo financiero alto que afecta directamente las proyecciones futuras relacionadas con el saldo tesoral en las cuentas de la corporación. 
</t>
  </si>
  <si>
    <t>Existen consignaciones por identificar, algunas el tercero no corresponde y en otras el servicio, el proceso de identificación es dispendioso y genera reprocesos, también hace que la dispersión de fondos en cartera sea ineficaz. De acuerdo al reporte TES 105 de Cartera Financiera, venian 13 consignaciones  sin identificar junto con las del último trimestre son 37, las cuales al final del periodo fueron identificadas 15</t>
  </si>
  <si>
    <t>Durante el último trimestre de la vigencia 2025 se adelantaron los procesos contractuales que se encontraban pendientes de ejecución. En tal sentido, la Oficina Asesora de Contratación efectuó el seguimiento continuo al cumplimiento del Plan Anual de Adquisiciones (PAA) de la CSC, el cual se formula con fundamento en las necesidades previamente identificadas y reportadas por cada una de las áreas que integran la entidad.
Es de señalar que la Oficina Asesora de Contratación reitera de manera mensual a las diferentes dependencias la obligación de dar cumplimiento a lo programado en el PAA; no obstante, la adecuada planeación, actualización y ejecución de dicho instrumento constituye una responsabilidad compartida entre la Oficina Asesora de Contratación y las demás áreas de la Corporación, en la medida en que son estas últimas las encargadas de identificar las necesidades de contratación y de promover el inicio oportuno de los procesos previstos desde el inicio de la vigencia fiscal.
Sin perjuicio de lo anterior, durante el periodo evaluado se adelantaron procesos de contratación no contemplados inicialmente en el PAA, los cuales respondieron a necesidades sobrevinientes y resultaron indispensables para garantizar la continuidad, eficiencia y adecuado funcionamiento de la CSC.</t>
  </si>
  <si>
    <t>El número de cuentas rendidas durante el periodo de Octubre a Diciembre de 2025 en la plataforma de SIA OBSERVA los primeros tres (3) días hábiles del mes correspondiente son:
OCTUBRE: Se rindieron 04 contratos. 
NOVIEMBRE Se rindieron 05 contratos.
DICIEMBRE: Se rindieron 04 contratos.
NOTA: Se adjunta actas de reunión y constancia de rendición del mes de Octubre, Noviembre y Diciembre de 2025.</t>
  </si>
  <si>
    <t xml:space="preserve">Durante el trimestre (Octubre. Noviembre y Diciembre), de la vigencia 2025 se realizaron las siguientes terminaciones de contratos:
PROCESOS 
25-0001, 25-0006, 25-0007, 25-00012, 25-0013, 25-0016, 25-0017, 25-0018, 25-0019, 25-0021 se encuentran con documentos de terminación al día en la Red.  
Los procesos 25-0002, 25-0003, 25-0004, 25-0005, 25-0008, 25-0010, 25-0011, 25-0014, 25-0020, 25-0022 en la red no se encuentran los documentos de terminación ni cierre porque los supervisores de cada uno de las contrataos no los adjuntaron en la cuenta de cobro. 
Los procesos 25-0009 y 25-0015 tienen vigencia hasta el año 2027, por lo que se encuentra en ejecución. 
CONTRATACION DIRECTA
25-001 hasta el contrato 25-129 se encuentran con Acta de Terminacion en la red.
Los contratos 25-013, 25-040, 25-054, 25-056, 25-087, 25-096, 25-100, 25-103, 25-104, 25-105, 25-106, 25-109, 25-110, 25-115, 25-120, 25-126, 25-127 no cuenta con los documentos correspondientes a la terminación del contrato, porque las cuentas quedaron en cuentas por pagar para la vigencia 2026 y aún se encuentran en la oficina de contabilidad de la CSC. </t>
  </si>
  <si>
    <t>Se realiza inspección preoperativa y mantenimiento a (05) vehículos: OHK864, OHK865, OFK448, OSM114, OFK544, se anexan facturas (FTE 35106, FTE 35107, FTE 35109, FTE 35110, FTE 35111, FTE 35116), se incluyen las Revisiones Tecnico-Mecánicas de los Vehículos de placas OFK448 con fecha de expedición del 27 de octubre de 2025, OHK864 con fecha de expedición del 11 de diciembre de 2025, OHK865 con fecha de expedición del 04 de diciembre de 2025 y se adjuntan soportes de solicitudes realizadas por correo electrònico al Contratista HYUNDAUTOS (25-0007) para el diligenciamiento del FORMATO SOLICITUD DE MANTENIENTO VEHICULOS CSC-GRF-FR-05.</t>
  </si>
  <si>
    <t>Durante el cuarto trimestre de la vigencia 2025, no se programaron nuevas auditorías internas en el marco del Plan Anual de Auditorías, dado que la totalidad de las auditorías contempladas en dicho plan fueron ejecutadas y finalizadas durante el segundo trimestre, conforme al cronograma aprobado mediante el Acta No. 1 del Comité Institucional de Coordinación de Control Interno.</t>
  </si>
  <si>
    <t>En cumplimiento de lo establecido en el artículo 2 de la Resolución 0278 de 2021, se efectuó en diciembre de 2025 de manera adecuada y oportuna el segundo avance semestral del plan de mejoramiento derivado de la Auditoría de cumplimiento de la vigencia 2023. Asimismo, en cumplimiento de lo establecido en el parágrafo tercero del artículo sexto de la Resolución 0209 de 2024, se presentó en medio digital en diciembre de 2025 los planes de mejoramiento derivados de la Auditoría financiera de gestión y resultados vigencia 2024, a través del formato habilitado para tal fin en el aplicativo SIA Contralorías.</t>
  </si>
  <si>
    <t>Se adjuntan los soportes correspondientes a los seguimientos realizados a las acciones correctivas y de mejora formuladas por los diferentes procesos, derivadas de No Conformidades y Observaciones. De acuerdo con las evidencias revisadas, se identifican escenarios diferenciados en los que algunas acciones registran cumplimiento conforme a lo planificado, en otros casos presentan incumplimientos, y en otros se evidencian retrasos frente a las fechas de cierre inicialmente establecidas, lo que conllevó a la redefinición de nuevos plazos para su ejecución y seguimiento.
Es importante precisar que, de conformidad con el procedimiento vigente, el seguimiento a las acciones correctivas y de mejora se ejecuta en momentos planificados, según corresponda, así: (i) seis (6) meses después de la entrega de las acciones correctivas y/o de mejora, mediante verificación realizada a través de correo electrónico; o (ii) mediante la auditoría integral de la vigencia siguiente, con registro en el archivo interno denominado “SEGUIMIENTO – ACCIONES CORRECTIVAS Y DE MEJORA” correspondiente a la respectiva vigencia.
Adicionalmente, como buena práctica desde la Oficina de Control Interno, se realizó un seguimiento durante el cuarto trimestre de 2025, con el fin de que las áreas responsables contaran con información oportuna para actuar frente a posibles incumplimientos, previo a la auditoría a realizar en el año 2026 sobre la vigencia 2025.</t>
  </si>
  <si>
    <t>Se adjuntan los soportes correspondientes a las dos campañas restantes, con el fin de completar la actividad relacionada con la realización de campañas de autocontrol que armonicen la Séptima Dimensión del MIPG.</t>
  </si>
  <si>
    <t>Desde la Oficina de Control Interno se viene realizando seguimiento mensual a SIA Observa verificando la rendición a tiempo de los contratos de la vigencia. Se adjunta la evidencia de la verificación realizada.</t>
  </si>
  <si>
    <t>De acuerdo con las evidencias, el proceso cumple parcialmente con el indicador, al presentar informes de inventarios devolutivos y de consumo generados en Novasoft. Sin embargo, no se verifica la concordancia entre lo reportado y el inventario físico, lo que genera una brecha en la confiabilidad de la información y limita la validación efectiva del cumplimiento. Se recomienda fortalecer las evidencias o ajustar el indicador, de manera que refleje de forma más precisa la gestión de inventarios y no se limite únicamente a la generación de reportes.</t>
  </si>
  <si>
    <t>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t>
  </si>
  <si>
    <t>La entrega de bonos de cine fue entregadas a todos los funcionarios durante el primer trimestre con el fin que pudieran hacer uso del incentivo dentro de la vigencia de las mismas.
Los funcionarios que cumplieron años durante este trimestre accedieron al día compensatorio; así mismo, los interesados accedieron al horario flexible, la sala lactante se encuentra permanentemente en disposición de las usuarias que la requieran.
En lo referente al incentivo de la bicicleta se encuentra vigente mediante acto administrativo, se realizó consulta para validar quienes llegaban en este medio de transporte a la entidad, encontrando que para finales del trimestre un funcionario inició a realizar su desplazamiento desde y hacia su lugar de trabajo, una vez cumpla con los tiempos establecidso en la Resolución se otorgará el incentivo,
En lo relacionado con el programa -servimos-, se realizó divulgación por los diferentes canales institucionales de los convenios y descuentos a los cuales se pueden acceder por hacer parte del servicio público.
La jornada de aerobicos programada para el presente trimestre fue reprogramada y se realizó el día 19 de Septiembre de 2025,
El día 30 Octubre llevamos a cabo Dulce día, la cual consistió en una jornada de recreación para los funcinarios y sus hjos, la entidad premió a los funcionarios mas creativos en su disfraz y otorgó obsequios a todos los niños asistentes,
El cierre de gestión se realizó el día 19 de Diciembre de 2025, en torno al desayuno de Confraternidad, este día la gerencia y los directivos fueron los encargados de realizar la novena, agradecer la entrega y compromiso de quienes integran la CSC y se hizo entrega de incentivos navideños y de obsequis para los mas pequeños de casa.</t>
  </si>
  <si>
    <t>Para el cuarto trimestre no se presenta seguimiento al indicador, debido a que el proceso ejecutó el 100% de las auditorías programadas durante el segundo trimestre y no tiene actividades adicionales previstas para este periodo. Se recomienda al proceso mantener actualizada la programación anual de auditorías.</t>
  </si>
  <si>
    <t>Durante el cuarto trimestre del 2025 se radicaron 2.179 PQRSDF que en su totalidad se resolvieron dentro de los términos establecidos.2.166 fueron peticiones,7 quejas,4 reclamos,1 sugerencia y 1 denuncia. 
Octubre: Se recibieron 1.011 PQRSDF,de las cuales 1.009 fueron peticiones,1 quejas,1 reclamo. Los principales canales fueron el correo electrónico con 315 solicitudes, WhatsApp con 227, solicitudes,puntos físicos de atención con 206 solicitudes, línea telefónica con 227 y correo de notificaciones judiciales con 23  y página web con 13 PQRSDF..El 84% de las solicitudes correspondieron al área de atención al cliente.
Noviembre: Se gestionaron 680 PQRSDF, de las cuales 670 fueron peticiones y 5 quejas y 2 reclamos,1 sugerencia y 1 denuncia..El canal más utilizado fue el correo electrónico con  270 solicitudes, seguido por  la línea telefónica con ,Whats App con 93 saolicitudes,  puntos físicos de atención con 102, , correo de notificacionesjudiciales@csc.gov.co con 32 y página web con 15 solicitudes. El 77% de las solicitudes fueron gestionadas por el área de atención al cliente, seguido por el área de cartera con un 12%,área jurídica y Subgerencia Administrativa.
Diciembre: Se radicaron 488 PQRSDF,de las cuales 486 fueron peticiones,1 queja y 1 reclamo, siendo elcorreo de atención alcliente el  canal más utilizado por los afiliados con 260 PQRSD gestionadas,  seguido por Whats App con 66 solicitudes,línea telefónica con 49, la atención presencial en las dos sedes de la ¨CSC¨ con 49 , correo de notificaciones judiciales con 21 y la página web con 9 solicitudes. El 71% de las peticiones fueron gestionadas por el área de atención al cliente, seguida por el área de cartera con una participación del 18%.</t>
  </si>
  <si>
    <t>Durante el mes de octubre,noviembre y diciembre de 2025, fueron diligenciadas 432 encuestas.
Conclusiones Generales:
 Los servicios más utilizados en el trimestre fueron los relacionados con asesorías, seguido de información de créditos y estados de cuenta.
• En el primer periodo (101 servicios), el servicio con mayor demanda fue Asesoría (65%), seguido de Información de créditos (16,83%) y Cancelación de hipoteca (8,91%). Los demás servicios tuvieron participación baja (inferior 
al 4%), lo que evidencia que la mayoría de requerimientos estuvieron concentrados en orientación directa al usuario. 
• En el segundo periodo (185 servicios), se observa una distribución másequilibrada. Aunque asesoría (65,95%) lidera, servicios como información créditos (25%), Estado de cuenta (17,86%) y Radicación de créditos (21,16%) muestran una participación similar, reflejando un aumento en 
trámites operativos y gestión de cartera. Esto indica una mayor dinámica en procesos crediticios frente al primer periodo. 
• En el tercer periodo (146 servicios), nuevamente Asesoría (73,85%)concentra la mayoría de atenciones, mostrando un incremento significativo frente a los otros periodos. Información de créditos (13,08%) y Estado de 
cuenta (10%) mantienen participación moderada, mientras que los demásservicios presentan porcentajes mínimos o nulos. 
•CONCLUSIONES:
• El trimestre muestra un desempeño excelente en satisfacción del usuario. 
• Los niveles de “muy satisfecho” superan el 90% en todos los meses. 
• Los servicios financieros siguen siendo los más demandados. 
• Se evidencia trato amable, claro y eficiente en todas las sedes. 
• La institución demuestra inclusión y atención equitativa.</t>
  </si>
  <si>
    <t xml:space="preserve">En el marco del Plan de Medios y Comunicaciones correspondiente al cuarto trimestre de 2025, se dio cumplimiento a un total de 17 actividades estratégicas, las cuales estuvieron orientadas a fortalecer la atención al cliente y la fidelización de los afiliados, así como a consolidar el posicionamiento y la presencia institucional de la Corporación Social de Cundinamarca.
Las actividades realizadas incluyeron contenido en redes sociales,envío permanente de información por correo y WhatsApp,campañas digitales en redes sociales para posicionar la CSC,comunicados y material fotográfico para enviar a prensa central,envío de piezas comunicativas a los correos de los afiliados,actualización página web,se realiza la evaluación e informe mensual del seguimiento del plan de comunicaciones,seguimiento mensual de PQRSDF
CAPACITACIÓN DEL PERSONAL Y FORTALECIMIENTO DE LOS CANALES DE ATENCIÓN AL CLIENTE:
El 24 de octubre se realizó la Capacitación sobre el tema del Manual de Atención al Ciudadano, realizada en la Oficina de Atención al Cliente con el equipo de la oficina.
Para este mes de diciembre, se hicieron 10 capsulas sobre los pasos esenciales para tener en cuenta en la prestación de un servicio con excelencia, las cuales serán publicadas en el primer trimestre del año 2026
REALIZAR FERIAS DE SERVICIOS :
Octubre
-Octubre 8:      Feria de servicios Municipio de Fusagasugá
-Octubre 15:    Feria de servicios Municipio de Funza
-Octubre 16:    Feria de servicios Municipio de Cajicá
-Octubre 22:    Feria de servicios Municipio de Ubaté
-Octubre 23:    Feria de servicios Municipio de Anapoima
Noviembre
-Noviembre  20:   Feria de servicios y entrega incentivo navideño Municipio de Girardot
-Noviembre 27:    Feria de servicios y entrega incentivo navideño Municipio de Ubate
-Noviembre 28:    Feria de servicios y entrega incentivo navideño Municipio de Caqueza  
Diciembre
-Diciembre 01 :  Feria de servicios y entrega incentivo navideño Municipio de Gachetá
-Diciembre 02 :  Feria de servicios y entrega incentivo navideño Municipio de Anapoima
-Diciembre 02 :  Feria de servicios y entrega incentivo navideño Municipio de Villeta
-Diciembre 03 :  Feria de servicios y entrega incentivo navideño Municipio de San Juan de Rio Seco
-Diciembre 04 :  Feria de servicios y entrega incentivo navideño Municipio de Pacho
-Diciembre 05 :  Feria de servicios y entrega incentivo navideño Municipio de Guaduas
-Diciembre 09 :  Feria de servicios y entrega incentivo navideño Municipio de Fusagasugá
-Diciembre 10 :  Feria de servicios y entrega incentivo navideño Municipio de Girardot
-Diciembre 11 :  Feria de servicios y entrega incentivo navideño Municipio de Zipaquirá
-Diciembre 11 :  Feria de servicios y entrega incentivo navideño Municipio de Chocontá
-Diciembre 15 :  Feria de servicios y entrega incentivo navideño Municipio de Soacha
-Diciembre 15:   Feria de servicios y entrega incentivo navideño Municipio de Madrid                   </t>
  </si>
  <si>
    <t>Durante los meses de octubre,noviembre y diciembre  de 2025, la Corporación Social de Cundinamarca (CSC) realizó un total de 255 nuevas afiliaciones, superando la meta trimestral de 150 reflejando la confianza de los funcionarios públicos en los servicios ofrecidos.
Durante el último trimestre de 2025 se registró un total de 255 nuevas afiliaciones, superando ampliamente la meta establecida de 150 afiliaciones para el periodo, lo que representa un cumplimiento superior al 100% de lo proyectado.
Este resultado refleja la confianza de los funcionarios públicos en los servicios ofrecidos por la Corporación Social de Cundinamarca, así como el fortalecimiento del posicionamiento de la marca y la credibilidad institucional. El logro alcanzado es producto de la calidad en la atención, la claridad en la información suministrada, la oportunidad en los procesos, la cercanía con los afiliados y el trabajo articulado de las áreas comerciales y de servicio resaltando que en este trimetre se realizaron el mayor número de ferias de servicios.
Asimismo, evidencia la efectividad de las estrategias implementadas durante el trimestre, orientadas a visibilizar los beneficios institucionales, generar valor agregado y consolidar relaciones sólidas con los afiliados, permitiendo no solo cumplir sino superar de manera significativa la meta propuesta.
Octubre: Se llevaron a cabo 70 nuevas afiliaciones 
Noviembre: El número  es de 79 nuevas afiliaciones .
Diciembre:  Se realizaron 96 afiliaciones, las ferias de servicios organizadas en este mes permitieron acercar la oferta de la CSC a usuarios actuales y potenciales, impulsando la difusión de sus productos y servicios.</t>
  </si>
  <si>
    <t>Durante el cuarto trimestre se formularon dos planes de mejoramiento, atendiendo las políticas de Gestión Documental, Atención al Ciudadano y Racionalización de Trámites. Dichos planes fueron gestionados por el proceso de Gestión de la Información (Gestión Documental) y el proceso de Atención al Ciudadano (Política de Atención al Ciudadano y Racionalización de Trámites), garantizando la articulación institucional y el cumplimiento de los lineamientos establecidos. El último seguimiento se realizó en el mes de diciembre, permitiendo verificar avances y consolidar los resultados alcanzados.</t>
  </si>
  <si>
    <t>En este periodo se efectuó el seguimiento correspondiente al tercer cuatrimestre del Plan Anticorrupción y de Atención al Ciudadano. Asimismo, se adelantó el seguimiento al cuarto trimestre de los demás planes previstos en el Decreto 612, cuyos resultados de cumplimiento serán analizados en el tercer Comité Institucional de Gestión del 2026, con el propósito de verificar los avances alcanzados y consolidar acciones de mejora.</t>
  </si>
  <si>
    <t>Se efectuaron por los contratistas encargados de apoyo a la supervisión de la representación judicial, 1583 procesos  consultados en la plataforma de la rama judicial a saber:
Monica Juliana Bohorquez Guisa realizó 82 consultas en la plataforma de  la rama judicial cuya  gestión esta incluida en el archivo drive  REVISION DE PROCESOS y al cual tiene acceso  el doctor CARLOS FRANCISCO BUITRAGO  
Gabriela Garzon Vera realizó realizó 425  consultas en la plataforma de  la rama judicial cuya  gestión esta incluida en el archivo drive  REVISION ESTADO DE PROCESOS y al cual tiene acceso  el doctor CARLOS FRANCISCO BUITRAGO  
Camilo Andres Angel Perez realizó 559 consultas en la plataforma de  la rama judicial cuya  gestión esta incluida en el archivo drive  REVISION ESTADO DE PROCESOS y al cual tiene acceso  el doctor CARLOS FRANCISCO BUITRAGO  
Paola Andrea Casañas Herrera realizó 254 consultas en la plataforma de  la rama judicial cuya  gestión esta incluida en el archivo drive  REVISION ESTADO DE PROCESOS y al cual tiene acceso  el doctor CARLOS FRANCISCO BUITRAGO  
Las evidencias del indicador de la gestión jurídica de los procesos  pueden ser consultadas en la dirección electrónica del drive REVISION ESTADO DE PROCESOS  OCTUBRE, NOVIEMBRE DEL  2025.</t>
  </si>
  <si>
    <t>Se  efectuaron seis (6) sesiones  del Comite de Conciliación y Defensa Judicial en  el primer trimestre  del 2025  ( Enero a marzo)
Se  efectuaron seis (6) sesiones  del Comite de Conciliación y Defensa Judicial en  el segundo trimestre  del 2025 (Abril a junio ) 
Se efectuaron nueve (9) sesiones  del Comite de Conciliación y Defensa Judicial en  el tercer trimestre  del 2025  ( Julio  a septiembre)
Se efectuaron siete (7) sesiones  del Comite de Conciliación y Defensa Judicial en  el cuarto trimestre  del 2025 (octubre a diciembre ) 
Acta No. 1  del Comite de Conciliación y Defensa Judicial del 29 de enero del  2025
Acta No. 2  del Comite de Conciliación y Defensa Judicial del 31 de enero del  2025
Acta No. 3  del Comite de Conciliación y Defensa Judicial del 19 de febrero del  2025
Acta No. 4 del Comite de Conciliación y Defensa Judicial del 29 de febrero del 2025
Acta No. 5  del Comite de Conciliación y Defensa Judicial del 13 de marzo del  2025
Acta No. 6  del Comite de Conciliación y Defensa Judicial del 31 de marzo del 2025
Acta No. 7 del Comite de Conciliación y Defensa Judicial del 24 de abril  2025
Acta No. 8  del Comite de Conciliación y Defensa Judicial del 30 de abril del  2025
Acta No.9  del Comite de Conciliación y Defensa Judicial del 20 de mayo del  2025
Acta No.10 del Comite de Conciliación y Defensa Judicial del 28 de mayo del  2025
NOTA. El primer informe de las sesiones del Comite de Conciliaciòn y Defensa Judicial corresponde al periodo comprendido entre el 1 de enero al 30 de junio del 2025, fue enviado a la oficina de planeaciòn con destino  al Doctor CARLOS  FRANCISCO  BUITRAGO  FORERO. 
Acta No.11 del Comite de Conciliación y Defensa Judicial del  4 de junio del  2025
Acta No.12 del Comite de Conciliación y Defensa Judicial del 11 de junio del  2025
Acta No.13 del Comite de Conciliación y Defensa Judicial del 25 de julio del  2025
Acta No.14 del Comite de Conciliación y Defensa Judicial del 30 de julio del  2025
Acta No.15 del Comite de Conciliación y Defensa Judicial del 31 de julio del  2025
Acta No.16 del Comite de Conciliación y Defensa Judicial del 21 de agosto del  2025
Acta No.17 del Comite de Conciliación y Defensa Judicial del 28 de agosto del  2025
Acta No.18 del Comite de Conciliación y Defensa Judicial del 1 de septiembre del  2025
Acta No.19 del Comite de Conciliación y Defensa Judicial del 17 de septiembre del  2025
Acta No.20 del Comite de Conciliación y Defensa Judicial del 24 de septiembre del  2025
Acta No.21 del Comite de Conciliación y Defensa Judicial del 26 de septiembre del  2025
Acta No.22 del Comite de Conciliación y Defensa Judicial del 10 de octubre del  2025
Acta No.23 del Comite de Conciliación y Defensa Judicial del 14 de octubre del  2025
Acta No.24 del Comite de Conciliación y Defensa Judicial del 23 de octubre del  2025
Acta No.25 del Comite de Conciliación y Defensa Judicial del 13 de noviembre del  2025
Acta No.26 del Comite de Conciliación y Defensa Judicial del 27 de noviembre del  2025
Acta No.27 del Comite de Conciliación y Defensa Judicial del 11 de diciembre del  2025
Acta No.28 del Comite de Conciliación y Defensa Judicial del 18 de diciembre del  2025</t>
  </si>
  <si>
    <t>Se remite informe del seguimiento  a los desistimientos tacitos</t>
  </si>
  <si>
    <t>Se cumplió con los mantenimientos preventivos programados para el mes de octubre, realizando 13 mantenimientos a los equipos de computo de la corporacion, quedaron penditentes 2 por temas de uso de los usuarios.</t>
  </si>
  <si>
    <t>Se ejecuto el contrato 25-0016 y contrato 25-0017 adquiicion de repuestos para equiposde computo.</t>
  </si>
  <si>
    <t>Se realizaron las actividades indicadas en los planes, gestionando la seguridad digital de la CSC mediante la actualizacion de las politicas de seguridad del firewall, ejecucion del contrato de licenciamiento del firewall, ejecucion del contrato de sitio seguro MPKI, y el seguimiento a la consola del antivirus Bitdefender y revision de la matriz de riesgos.</t>
  </si>
  <si>
    <t>Planes y proyectos:
1. Debido a la derogación de la Resolución, por la cual se creó el Comité Interno de Archivo, actualmente la toma de decisiones con respecto a la Gestión Documental son llevadas a cabo por el Comité Institucional de Gestión y Desempeño.
2. Como resultado de la contratación con la empresa Red Summa se logró a 31 de diciembre la actualización de los siguientes instrumentos archivísticos; Cuadro de Clasificación Documental - CCD y el Programa de Gestión Documental - PGD, los cuales están listos para aprobación e implementación por parte de la oficina de planeación, En cuanto a las Tablas de Retención Documental - TRD, estas ya fueron actualizadas, no obstante por falta de tiempo se requirió hacer una prórroga al convenio con la empresa, para completar compromisos pendientes, de los cuales uno de ellos es hacer la entrega para convalidación del documento ante el Archivo General de la Nación, Con respecto al Sistema Integrado de Conservación - SIC, se elaboró un borrador el cual aún requiere validación por parte de un profesional de archivo, teniendo en cuenta que este documento no está al 100% concluido, se ha proyectado continuar con su oficialización en el PINAR 2026.
3. Como parte de las obligaciones específicas del contrato No 25-110 con RED SUMMA, se estableció realizar el inventario en estado natural de 790 metros lineales de archivo, equivalentes a 2.370 cajas aproximadamente. Con corte a 31 de diciembre de 2025 se elaboró el FUID de 1.772 cajas, superando en más de un 600% el objetivo de 279 cajas establecidas en el PINAR y alcanzando casi la totalidad del Archivo Central.
4. Se viene realizando el seguimiento de temperatura de la bóveda a diario, la cual debe estar entre 18 y 23 °C y con una humedad relativa promedio entre 55 y 60%, el 7 de noviembre se oficializó un formato de calidad para llevar a cabo la toma de temperatura, tanto de la bodega de archivo central como de la bóveda de archivo de gestión, el cual se ha implementado como único formato de uso, el 18 de diciembre de 2025 el Almacenista General remitió un correo en el cual informa que el mantenimiento al deshumidificador no será llevado a cabo, por cuanto se hará compra de nuevos dispositivos en la vigencia 2026.
5. Se viene realizando el seguimiento de temperatura de la bodega de archivo central, la cual debe estar entre 18 y 23 °C y con una humedad relativa promedio entre 55 y 60%, se había programado un seguimiento semanal, durante todo el año se llevó a cabo de manera diaria en días hábiles, hasta el momento no se reportaron novedades a tener en cuenta. También se implementó el uso del nuevo formato oficial correspondiente. 
6. Durante el trimestre reportado se detectó la necesidad de cambiar un total de 264 cajas X-200 correspondientes a órdenes de pago de créditos antiguos, completando en un 100% la utilidad de las cajas en total detectadas que requerían el cambio, a futuro se seguirá haciendo el seguimiento conforme se requiera actualizar cajas en deterioro, proceso que debe ser permanente.
7. Se realizó un cronograma para brindar 2 capacitaciones de Gestión Documental de manera bimensual con los funcionarios y contratistas de la CSC a lo largo del año, en el mes de octubre se realizó una capacitación el día 8 a la cual asistieron 21 funcionarios y contratistas y una el día 9 a la cual asistieron 8 funcionarios y contratistas. Por parte de RED SUMMA también se brindó un taller de inducción y prácticas de archivo básico, normas y obligaciones de funcionarios y contratistas el día 7 de noviembre, a la cual asistieron 52 funcionarios y contratistas. Finalmente el 27 de noviembre se realizó una capacitación virtual del sistema integrado de conservación, plan de conservación documental y plan de preservación digital a la cual asistieron 22 funcionarios y contratistas. Completando la programación de capacitaciones para el año en un 100% más una capacitación adicional.</t>
  </si>
  <si>
    <t>Se realizó seguimiento a la plataforma del SUIT, donde se registraron las diferentes PQRS presentadas durante el periodo a los trámites inscritos. En cuanto al seguimiento de la estrategia de racionalización, se realizó mesa técnica con el SUIT el 26 de noviembre, con el fin de solucionar una estratégica que no se podía cumplir y venía de años atrás, esta fue eliminada porque por temas de contratación no se incluyen desarrollos en Novasoft para mejorar el formulario de afiliación.</t>
  </si>
  <si>
    <t>En el cuarto trimestre, el indicador de mantener la cartera en estado prejurídico por debajo del 3% se cumple, con un resultado de 2.3%. Esto evidencia un control adecuado del proceso y acciones de seguimiento oportunas que permitieron mantener la cartera dentro del rango esperado.</t>
  </si>
  <si>
    <t>El proceso cumple parcialmente con el indicador, dado que el recaudo tesoral alcanzó $12.023.217.449, frente a los $12.878.350.000 proyectados en el PAC. Aunque se han implementado estrategias de recuperación vigentes, se recomienda continuar el seguimiento de los ingresos, asegurando que todos los valores sean correctamente registrados y generando alertas oportunas a la alta gerencia sobre los recaudos mensuales, con el fin de facilitar la toma de decisiones que fortalezcan la sostenibilidad financiera de la entidad.</t>
  </si>
  <si>
    <t>Durante el cuarto trimestre, el indicador de mantener la cartera en estado persuasivo por debajo del 3% se cumple, con un resultado de 1.8%. Esto evidencia un adecuado control de la cartera y una gestión efectiva en las acciones de seguimiento y recuperación.</t>
  </si>
  <si>
    <t xml:space="preserve">De acuerdo a la evidencias aportadas por el proceso solo se identifican 8 inventarios realizados de los 54 reportados por lo cual no se cumple con el indicador </t>
  </si>
  <si>
    <t>Para el presente trimestre el indicador no presenta medición, sin embargo se evidencia que el proceso genero dos planes de mejoramiento con Atención al cliente y archivo. Asimismo, se realizaron mesas de trabajo con los líderes de proceso, con el fin de proponer y estructurar acciones para el seguimiento a la implementación de dichos planes. Se recomienda continuar con el monitoreo y la evaluación periódica de las acciones definidas, a fin de garantizar su efectividad, fortalecer la gestión institucional y mejorar los resultados en futuras mediciones del FURAG.</t>
  </si>
  <si>
    <t>Con base en las evidencias presentadas, se evidencia el cumplimiento del indicador, dado que el proceso tenía proyectada la vinculación de 150 nuevos afiliados y alcanzó un total de 250 afiliaciones durante el período evaluado, superando ampliamente la meta establecida. Este resultado se atribuye a la ejecución de ferias y actividades de promoción institucional. Se recomienda dar continuidad y fortalecer las estrategias de promoción y captación, focalizando los escenarios que han demostrado mayor efectividad, con el fin de sostener y ampliar el nivel de desempeño alcanzado. Así mismo, se sugiere que para la próxima vigencia se revise y ajuste la meta del indicador, de manera que refleje de forma más realista la capacidad operativa del proceso y evite generar escenarios de sobrecumplimiento.</t>
  </si>
  <si>
    <t>Durante el cuarto trimestre, el proceso no cumple con el indicador, ya que la cartera jurídica alcanzó un 32%, superando en 3 puntos la meta establecida. Aunque la entidad implementó una medida de alivio económico, se recomienda reforzar su difusión para incentivar la participación de los afiliados y favorecer el avance del indicador hacia el cumplimiento de su propósito.</t>
  </si>
  <si>
    <t>De acuerdo con la evidencia aportada por el proceso no se cumple con el indicador ya que únicamente se logra verificar el despacho de cuatro (4) solicitudes de elementos de papelería, pese a que el proceso reporta la atención de diecinueve (19) solicitudes durante el cuarto trimestre. En consecuencia, la información presentada no permite validar en su totalidad lo reportado. Se recomienda al área fortalecer las evidencias y asegurar la concordancia entre lo reportado y los soportes anexos para los próximos seguimientos.</t>
  </si>
  <si>
    <t>De acuerdo con las evidencias aportadas por el proceso, de las siete (7) actividades programadas en el cronograma PIGA se ejecutaron cuatro (4): tres (3) relacionadas con el uso eficiente de los recursos hídricos, energéticos y sólidos, y una (1) parcialmente correspondiente al análisis de los puestos de trabajo. Sin embargo, frente a esta última actividad, de los setenta y siete (77) análisis reportados, únicamente se identifican cinco (5) evidencias que soporten su realización. En este sentido, se recomienda al proceso anexar la totalidad de los informes asociados al análisis y a la ejecución de las actividades pendientes, con el fin de evidenciar de manera integral el cumplimiento del cronograma establecido.</t>
  </si>
  <si>
    <t>De acuerdo con las evidencias aportadas por el proceso, se da cumplimiento al indicador, teniendo en cuenta que se radicaron tres (3) incapacidades ante las EPS, de las cuales una (1) fue pagada por la EPS, una (1) fue asumida por el funcionario y una (1) se encuentra pendiente de pago correspondiente al funcionario Jesús Manuel Vergara Berrocal. Adicionalmente, se evidencia que se efectuó el pago de dos (2) incapacidades pendientes correspondientes al mes de septiembre.</t>
  </si>
  <si>
    <t>De acuerdo con las evidencias presentadas, el indicador presenta un cumplimiento parcial, toda vez que durante el mes de octubre se realizaron doce (12) conciliaciones bancarias completas de las diecisiete (17) cuentas activas de la entidad; en el mes de noviembre se efectuaron once (11) conciliaciones bancarias de las diecisiete (17) cuentas activas; y para el mes de diciembre no se reportan conciliaciones, debido a que a la fecha se encuentran en proceso de elaboración.</t>
  </si>
  <si>
    <t>Al cierre del cuarto trimestre del año 2025, se cumple con las 4 actividades programadas en el plan de mantenimiento, actividad 1.1 , 2 , 5.1 y 5.2 cumpliendo al 100% lo programado, se anexa cronograma del plan de mantenimiento con evidencias.</t>
  </si>
  <si>
    <t>De acuerdo al PAC del año 2025 se tenía programado recaudar ingresos por valor de $13,178,350,000 en el último trimestre del año  y se recaudó presupuestalmente la suma de $ $13.888.531.107  es decir el 105%, de lo proyectado. Lo anterior significa que se cumplió el tope de recaudo durante el cuarto trimestre 2025.</t>
  </si>
  <si>
    <t>De acuerdo con el PAC del 2025 se tenía programado ejecutar gastos durante el cuarto trimestre por valor de $13,178,350,000   y se ejecutó la suma de   $10.903.598.710,  es decir el 83% de lo proyectado.</t>
  </si>
  <si>
    <r>
      <t>Se realizaron los siguientes informes y se encuentra cargados en la página web: 
https://csc.gov.co/control-interno/
- Seguimiento Matriz de riesgos Segundo cuatrimestre 2025.
- Se</t>
    </r>
    <r>
      <rPr>
        <sz val="10"/>
        <rFont val="Arial"/>
        <family val="2"/>
      </rPr>
      <t xml:space="preserve">guimiento Plan Anticorrupción Segundo Cuatrimestre 2025.
- Seguimiento Semestral 2025 - PQRS </t>
    </r>
    <r>
      <rPr>
        <sz val="10"/>
        <rFont val="Arial"/>
        <family val="2"/>
        <charset val="1"/>
      </rPr>
      <t xml:space="preserve">
- </t>
    </r>
    <r>
      <rPr>
        <sz val="10"/>
        <rFont val="Arial"/>
        <family val="2"/>
      </rPr>
      <t>Seguimiento Austeridad en el Gasto Tercer Trimestre 2025.
- Informe Pormenorizado Primer Semestre 2025.</t>
    </r>
  </si>
  <si>
    <t>De acuerdo con las evidencias presentadas por el proceso, se da cumplimiento al indicador, se verifica la realización del seguimiento de once (11) planes institucionales. No obstante, se identifican que los planes: Plan Previsión Recursos Humanos, plan Capacitaciones, plan Anual de Vacantes, plan PETIC, plan Seguridad y privacidad y plan Riesgos de Seguridad presentan una porcentaje de ejecución inferior al 50 %, por lo cual se recomienda al proceso apoyar o generar estartegias que permitar el logro de las actividades propuestas.</t>
  </si>
  <si>
    <t>Al finalizar el tercer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tercer seguimiento del plan de acción se encuentra publicado en la ruta de calidad  con un avance del 61%</t>
  </si>
  <si>
    <t>Al finalizar el cuarto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cuarto seguimiento del plan de acción se encuentra publicado en la ruta de calidad  con un avance del xxx%</t>
  </si>
  <si>
    <t>Se evidencia seguimiento a la plataforma SUIT y el reporte de PQRS asociadas a los trámites inscritos. En relación con la estrategia de racionalización, se verifica que se realizón mesa técnica con el SUIT el 26 de noviembre, donde se determinó la eliminación de una acción de vigencias anteriores, debido a limitaciones contractuales que impiden desarrollo en el aplicativo Novasoft. Se recomienda al proceso planear una nueva estartegia de racionalización para los trámites inscritos.</t>
  </si>
  <si>
    <t>De acuerdo con los informes presentados por el proceso, se evidencia el cumplimiento del indicador, dado que durante el periodo evaluado se radicaron un total de 2.179 PQRSDF, las cuales 2.170 fueron atendidas dentro de los términos establecidos. La distribución fue la siguiente: 2.166 peticiones, 7 quejas, 4 reclamos, 1 sugerencia y 1 denuncia. Se recomienda al proceso mantener la gestión oportuna de las solicitudes y continuar fortaleciendo los mecanismos de seguimiento, con el fin de garantizar la atención dentro de los plazos definidos.</t>
  </si>
  <si>
    <t>Con base en los resultados obtenidos, se evidencia el cumplimiento del indicador en un 97% y un alto nivel de satisfacción por parte de los usuarios frente a los servicios prestados. Durante el período evaluado se aplicaron cuatrocientas treinta y dos (432) encuestas de satisfacción, de las cuales trescientas noventa y dos (392) fueron calificadas como Muy satisfecho, veintisiete (27) como Satisfecho, una (1) como Aceptable, una (1) como Insatisfecho y once (11) no registraron respuesta.
Estos resultados reflejan una percepción positiva de la atención brindada, evidenciando el compromiso del proceso con la calidad del servicio y la satisfacción del cliente. Así mismo, se destaca que los servicios con mayor nivel de demanda estuvieron relacionados con la información sobre créditos y la asesoría ofrecida, los cuales contribuyeron significativamente a la experiencia favorable de los usuarios.</t>
  </si>
  <si>
    <t xml:space="preserve">De acuerdo con las evidencias aportadas, se evidencia el cumplimiento del indicador, teniendo en cuenta que de las 16 actividades progrmadas se ejecutaron 13 correspondiente al cuarto trimestre de 2025. Las acciones desarrolladas, que incluyeron estrategias de comunicación digital, fortalecimiento de los canales de atención al cliente, capacitación del personal y la realización de ferias de servicios en diferentes municipios del departamento, contribuyeron al fortalecimiento de la atención al cliente, la fidelización de los afiliados y el posicionamiento institucional de la Corporación Social de Cundinamarca. Se recomienda al proceso que para el pro{oxomo perido se retomen aquellas actividades que no se pudieron ejecutar y que pueden fortalecer el servicio prestado. </t>
  </si>
  <si>
    <t xml:space="preserve">El proceso cumple con el indicador establecido para el cuarto trimestre, beneficando a  3.183 personas con actividades de bienestar como incentivos, kits, herramientas tecnologicas, diplomaods y otros. Sin embargo se le recomienda la proceso completar las evidencias y gestionar una mejor presentación de las mismas para el próximo periodo. </t>
  </si>
  <si>
    <t>Con base en las evidencias presentadas por el proceso, se constata el cumplimiento del indicador, habiéndose visitado 83 municipios durante el trimestre. Se evidencia una eficiente promoción del portafoio de servicios en el Departamento. Este resultado evidencia una promoción efectiva del portafolio de servicios en el departamento. Se sugiere ajustar la meta para la próxima vigencia, con el fin de evitar sobreestimaciones y mejorar la precisión en la medición del indicador. Se destaca que el proceso accedio a todas las provincias.</t>
  </si>
  <si>
    <t>Durante el segundo semestre de 2025 se giraron un total de 53 subsidios,  por un valor de un salario minimo para cada uno , lo cual cumple con el indicador. Se recomienda al proceso completar las evidencias de las personas que hacen falta, debido a que se registran 42 de los 53. Igualmente se solicita indicar si en el semestre se presentaron perdidas de subsidios y anexar la respectiva resolución.</t>
  </si>
  <si>
    <t>En el cuarto trimestre de 2025, se aprobaron y desembolsaron 340 créditos por un valor total de $7.044.673.781, superando la meta trimestral establecida de 300 créditos. Este resultado evidencia el cumplimiento del indicador correspondiente al período evaluado. No obstante, al consolidar los resultados de la vigencia, no se alcanza la meta anual proyectada de 1.500 créditos, teniendo en cuenta que al cierre del año se registró un total de 1.158 créditos desembolsados. Asimismo, se sugiere implementar estrategias de promoción y acompañamiento más efectivas, con el fin de mejorar la cobertura y la colocación de créditos en el próximo año.</t>
  </si>
  <si>
    <t>Durante el cuarto trimestre de 2025  de los 340 créditos desembolsados, 20 corresponden a créditos de vivienda hipotecarios. Se verificó que 9 de estos fueron desembolsados en un periodo menor a 60 días, por lo que el indicador cumple parcialmente la meta. Lo ideal sería que la totalidad de los créditos de vivienda se desembolsaran dentro del plazo establecido, garantizando oportunidad en la gestión.
Se recomienda analizar las causas que generan demoras en el desembolso de los créditos hipotecarios y establecer acciones de mejora en los procesos de evaluación, aprobación y formalización. Asimismo, se sugiere fortalecer la coordinación entre las áreas involucradas para optimizar los tiempos de respuesta y asegurar que los desembolsos se realicen dentro del plazo meta de 60 días en los próximos periodos.</t>
  </si>
  <si>
    <t>El indicador de desembolso de créditos de consumo se cumple parcialmente, ya que se entregaron oportunamente 277 de 320 créditos desembolsados, mientras que 43 presentaron demoras en la entrega. Se recomienda fortalecer el registro y documentación de las causas que generan demoras en el desembolso de créditos de consumo, para facilitar la identificación de las demoras y promover acciones que optimicen los tiempos de entrega.</t>
  </si>
  <si>
    <t>El indicador cumple con la meta establecida, alcanzando un 98% de desgloses durante el cuarto trimestre, superando la meta del 95% y evidenciando una gestión efectiva en la articulación con las pagadurías. No obstante, se recomienda continuar avanzando en las acciones necesarias para legalizar los ingresos pendientes, con el fin de garantizar la trazabilidad y el saneamiento oportuno de la información financiera especialmente aquellas consignaciones de $30,000.</t>
  </si>
  <si>
    <t>En el mes de diciembre se efectuó una revisión y ajuste del Plan Anual de Adquisiciones (PAA), en el marco del seguimiento a su ejecución. Como resultado de este ejercicio, se retiraron del plan algunos procesos de contratación que no fueron adelantados, tales como OPEN IA, mantenimiento correctivo de equipos, renovación de IPv6 y el aplicativo de atención a afiliados.
De manera complementaria, se formalizó la contratación de las centrales de riesgo y del firewall, lo cual conllevó la actualización del PAA para el cuarto trimestre, así como otros ajustes derivados del avance del plan.
En consecuencia, se redefinió la programación trimestral de los procesos de contratación, quedando distribuida de la siguiente forma: 15 procesos en el primer trimestre, 4 en el segundo trimestre y 11 en el tercer trimestre.
Frente al indicador del cuarto trimestre, se presenta un cumplimiento parcial, dado que, de las 9 contrataciones programadas, se ejecutaron 7, manteniéndose pendientes 2 procesos.</t>
  </si>
  <si>
    <t>Según las evidencias, el proceso cumple con el indicador, habiéndose registrado 13 contratos en la aplicación SIA OBSERVA dentro de los tiempos establecidos durante el trimestre. Se recomienda mantener la consistencia en la carga oportuna de la información y fortalecer los mecanismos de control interno, garantizando que todos los contratos se registren puntualmente y sin rezagos.</t>
  </si>
  <si>
    <t xml:space="preserve">Se evidencia que el proceso cumple satisfactoriamente con el indicador establecido, ya que durante el trimestre se registraron 130 terminaciones de contrato de las cuales 105 cuentan con evaluación   del comportamiento de los proveedores y esta fue positiva, con calificaciones entre 4 y 5. Se recomienda al proceso mantener la actualización oportuna de la base de datos y la RED de contratación, asegurando la trazabilidad y el adecuado seguimiento de cada contratación, Así registrar en el formato de calidad la totalidad de las terminaciones y su respectiva evaluación para el periodo. </t>
  </si>
  <si>
    <t xml:space="preserve">De acuerdo con la revisión de las evidencias aportadas por el proceso se evidencia un cumplimiento parcial del indicador, toda vez que no se encuentran soportadas las listas de chequeo correspondientes a los quince (15) mantenimientos realizados durante eltrimestre. En este sentido, no es posible verificar la ejecución completa de las actividades. Se recomienda al proceso utilizar los formatos de calidad establecidos por la entidad, con el fin de garantizar el cumplimiento integral de los mantenimientos y fortalecer la trazabilidad y el control de la información en los próximos periodos.
</t>
  </si>
  <si>
    <t>Se realizaron 31 soportes a usuarios que se encuentran reportados en el formato de calidad, dando respuesta satisfactoria a la totalidad.</t>
  </si>
  <si>
    <t>De acuerdo con las evidencias reportadas, durante el cuarto trimestre el proceso atendió un total de 31 solicitudes, correspondientes, entre otras, a tickets relacionados con Novasoft, mantenimiento de impresoras y bloqueo de usuarios. La mayoría de estas solicitudes contó con una atención y solución oportuna, razón por la cual el indicador presenta un cumplimiento parcial. No obstante, se solicita al proceso completar adecuadamente los campos de respuesta en el formulario, con el fin de garantizar una trazabilidad clara y una gestión eficaz de cada solicitud.</t>
  </si>
  <si>
    <t>Durante el trimestre, el proceso gestionó la Renovación e instalación de licenciamiento por un año incluido soporte para el equipo de seguridad perimetral firewall de la CSC y soporte por ocho (8) horas. 
El Acceso a una plataforma tecnológica que permita la consulta y entrega en línea de manera inmediata y efectiva sobre información del estado procesal de cada actuación en materia jurídica, ademas se susciribieron 2 contratos para la compra de repuestos, accesorios y periféricos para equipos de computo, por lo que el indicador se cumple. Se recomienda al proceso verificar qué otros equipos o infraestructuras tecnológicas requieren la entidad, con el fin de planificar su implementación y fortalecer la seguridad institucional.</t>
  </si>
  <si>
    <t>Durante el trimestre se evidencia que el indicador no presenta cumplimiento, toda vez que ninguna de las 9 actividades programadas en los planes institucionales fue ejecutada. En consecuencia, se recomienda al proceso fortalecer la planeación, revisar la viabilidad de las actividades definidas y formular una nueva propuesta para la vigencia siguiente, priorizando aquellas que puedan ser efectivamente implementadas.</t>
  </si>
  <si>
    <t xml:space="preserve">De acuerdo con las evidencias aportadas por el proceso, se evidencia que de las 7 actividades programadas se ejecutaron 6, quedando pendiente la actualización de los instrumentos archivisticos, si bien se tienen proyectados, estos no fueron presenatdos para aprobación del CIGD.  El indicador cumple, sin embargo se recomienda al proceso continuar con las actividades pendientes que les permitan dar aprobación e implementación de los instrumentos archivisticos. </t>
  </si>
  <si>
    <t xml:space="preserve">De acuerdo con las evidencias revisadas, el proceso cumplió con el indicador para el cuatro trimestre de 2025,  Se evidencia la ejecución de mantenimientos a los 5 vehículos de la entidad, incluyendo la actualización de la revisión técnico-mecánica de los vehículos OHK-864, OHK865  Y OFK448, así como cambios de aceite, bombillos, bujías, entre otros aspectos importantes.
Se presentan los de las inspecciones preoperativas realizadas por los conductores y el inspector. SIin embargo se recomienda dar información sobre el vehículo de placas  OFK440, ya que no se han reportado información sobre este. </t>
  </si>
  <si>
    <t>Para el cuarto trimestre el cronograma del PIC contempló capacitación en Derechos Humanos, la cual se realizó en el primer trimestre de la vigencia.
Lo referente a  Redacción y Ortografía enfocado a la elaboración de informes en coordinación con el Centro de Educación Tecnológica - CET se ofertó el curso el cual se desarrolló de manera virtual.
Las Socializaciones internas sobre acciones de mejora, se han adelantado a travez de los cómites institucionales encabezados por los directivos de la enidad los cuales a su vez fueron replicadores en sus equipos de trabajo</t>
  </si>
  <si>
    <t>De acuerdo con las evidencias revisadas, el proceso cumplió con el indicador para el cuarto trimestre de 2025, dado que de las 3 capacitaciones programadas se llevaron a cabo las 3. Se recomienda al proceso realizar una planeación para el nuevo Plan de capcitaciones de la próxima vigencia, donde se tengan en cuenta las necesidades de capacitación de los diferentes procesos de la entidad y se mida la eficacia de los temas tratados, asi como promover una mayor participación de los funcionarios, seleccionando temas de interés transversal que fortalezcan las competencias institucionales.</t>
  </si>
  <si>
    <t>De acuerdo con las evidencias revisadas, el proceso presenta un cumplimiento del indicador en el cuarto trimestre, dado que se ejecutaron las doce (12) actividades programadas.
Para el próximo periodo, se recomienda que el plan contemple acciones orientadas a la proyección y sostenibilidad de las actividades realizadas, tales como el ajuste de la programación con base en las lecciones aprendidas, la definición de mecanismos de seguimiento al impacto de las actividades y la incorporación de mejoras que permitan consolidar la participación de los funcionarios y asegurar la continuidad del cumplimiento del indicador en la siguiente vigencia.</t>
  </si>
  <si>
    <t>De acuerdo con las evidencias aportadas, el indicador se cumple de manera parcial, dado que de las ocho (8) actividades programadas solo se evidencian seis (6) ejecutadas, quedando pendientes los talleres musculoesqueléticos. Adicionalmente, en lo relacionado con el registro de ausentismo, se evidencia que la plataforma no se encuentra en funcionamiento, lo cual limita la trazabilidad y el seguimiento de la información.
Se recomienda al proceso fortalecer la organización y trazabilidad de las evidencias, asegurando que estas correspondan exclusivamente a las actividades definidas en el plan y cuenten con los soportes adecuados. Así mismo, para el próximo periodo, se sugiere que el plan incorpore acciones orientadas a la proyección y sostenibilidad de las actividades desarrolladas, tales como el ajuste de la programación a partir de las lecciones aprendidas, la definición de mecanismos de seguimiento al impacto de las actividades y la implementación de mejoras que permitan consolidar la participación de los funcionarios y asegurar el cumplimiento del indicador en la siguiente vigencia.</t>
  </si>
  <si>
    <t>Para este trimestre el indicador no presenta medición, debido  a que las actividades de seguimiento se ejecutaron en el trimestre anterior.</t>
  </si>
  <si>
    <t>En el marco del seguimiento al autodiagnóstico institucional, específicamente en la ruta de creación de valor con menor puntaje asociada a la implementación de una cultura basada en el servicio y en el logro del bienestar, se informa que de las nueve (9) acciones de mejora definidas se reporta el cumplimiento y avance satisfactorio de ocho (8). Las actividades relacionadas con la inclusión de estos temas en los procesos de inducción y reinducción, la divulgación de la importancia del servicio en el bienestar institucional, la celebración del servidor público, la capacitación en prevención del acoso laboral y sexual, la definición de responsables para la identificación, intervención y monitoreo de los factores de riesgo psicosocial, la expedición del acto administrativo correspondiente y la adecuación y dotación del espacio para madres lactantes han sido ejecutadas o cuentan con acciones adelantadas que permiten proyectar su cumplimiento al 100 %. La única actividad pendiente de ejecución corresponde a la realización de reuniones al interior de cada dependencia para el análisis del tema y la proyección de acciones de mejora, razón por la cual, para el periodo evaluado, se reporta un total de ocho (8) acciones cumplidas frente a las nueve (9) previstas.</t>
  </si>
  <si>
    <t>Este indicador para el trimestre evaluado no presenta medición. Sin embargo, se evidencia que el proceso no ha logrado avanzar en el cierre de los periodos anteriores, en la medida en que no se realizaron los seguimientos a los acuerdos de gestión correspondientes a vigencias previas, lo cual limita la trazabilidad y el análisis del cumplimiento histórico del indicador.
Se recomienda al proceso realizar de manera prioritaria los seguimientos a los acuerdos de gestión correspondientes a los periodos anteriores, con el fin de cerrar las brechas acumuladas y restablecer la trazabilidad del indicador. Así mismo, se sugiere programar y documentar oportunamente los seguimientos a los acuerdos de gestión conforme a la periodicidad definida en la normatividad, garantizando la medición efectiva del indicador en las vigencias siguientes.</t>
  </si>
  <si>
    <t>De acuerdo con las evidencias aportadas por el proceso, no se cumple con el indicador, toda vez que se registran cincuenta y dos  (52) consignaciones sin identificar por un valor total de $76.181.275, correspondientes a operaciones desde el mes de febrero, sobre las cuales no se evidencia gestión. Adicionalmente, se observa que en el reporte TES105 se incluyen cuentas que ya han sido identificadas y cuentan con nombre, número de crédito y línea, pero que aún no han sido procesadas.</t>
  </si>
  <si>
    <t>De acuerdo con las evidencias revisadas,el indicador se cumple ya que el proceso presenta los documentos correspondientes al segundo seguimiento de la auditoría del año 2024, vigencia 2023, incluyendo el plan de mejoramiento y el correo de envío, así como los planes de mejoramiento asociados a la auditoría del año 2025, vigencia 2024.
Se recomienda al proceso anexar como evidencia el plan de mejoramiento que se llevará a cabo para la auditoría del año 2025, e informar de manera clara cuáles planes de mejoramiento se encuentran activos, con el fin de facilitar la trazabilidad, el seguimiento y el control de las acciones derivadas de los ejercicios de auditoría.</t>
  </si>
  <si>
    <t>De acuerdo con la revisión de la página web de la entidad y la normativa vigente, el indicador se cumple en el trimestre, toda vez que se publicó un (1) informe correspondiente al informe semestral de PQRS del segundo semestre. Así mismo, se valida la publicación del informe de austeridad del gasto en el tercer trimestre y del informe pormenorizado en el segundo trimestre.
Se recomienda al proceso continuar fortaleciendo la planeación y el control de la elaboración y publicación de los informes, asegurando su emisión dentro de los tiempos establecidos, con el fin de garantizar la oportunidad, la transparencia y el cumplimiento de las obligaciones de información institucional.</t>
  </si>
  <si>
    <t>De acuerdo con las evidencias reportadas, el indicador se cumple de manera parcial, dado que, si bien el proceso realizó seguimiento a las acciones de mejora y correctivas, estas se ejecutaron en treinta y seis (36) de las treinta y ocho (38) acciones previstas.
Se recomienda al proceso mejorar la presentación de las evidencias, consolidando la información en un único archivo que permita identificar de manera clara el avance y la eficacia de cada una de las acciones, así como revisar organizadamente el seguimiento realizado por parte de la OCI.</t>
  </si>
  <si>
    <t>De acuerdo con las evidencias aportadas, el proceso cumple con el indicador, dado que durante el cuarto trimestre se ejecutó la cuarta (4.ª) campaña de control, junto con la campaña pendiente del tercer trimestre. No obstante, se recomienda ajustar la programación interna y fortalecer el seguimiento a la ejecución oportuna de cada campaña, con el fin de evitar retrasos y garantizar el cumplimiento continuo del indicador, así como organizar los temas que aporten información a prinicipios de autocontrol y autogestión.</t>
  </si>
  <si>
    <t>De acuerdo con la información y evidencias revisadas, el indicador se cumple de manera parcial, dado que el proceso tenía como meta obtener un puntaje superior a 90 puntos y el resultado alcanzado fue de 89 puntos. Así mismo, se evidencia que el proceso realizó seguimiento a las actividades derivadas del autodiagnóstico.
Se recomienda al proceso programar y ejecutar oportunamente el diligenciamiento del autodiagnóstico de Talento Humano conforme a la periodicidad definida, así como asegurar la generación, conservación y disponibilidad de las evidencias correspondientes, con el fin de garantizar la medición efectiva del indicador y la trazabilidad del seguimiento en los periodos posteriores.</t>
  </si>
  <si>
    <t>El indicador cumple con lo establecido, ya que se evidencia que se realizó el seguimiento al Plan de Acción de la entidad correspondiente al  cuarto  trimestre de 2025, cuyo avance total fue aproximado del 85%.
Se sugiere al proceso realizar el seguimiento en una fecha más cercana al cierre del periodo, con el fin de socializar oportunamente los resultados con los procesos. Queda pendiente dar avance a los indicadores de gestión financiera porque no han cerrado periodo y no tienen información final, asi como la información del proceso de jurídica ya que carece también de información.</t>
  </si>
  <si>
    <t>De acuerdo con la información consultada en el proceso, el indicador asociado a la gestión de cobros jurídicos se cumple, toda vez que de los mil novecientos noventa y siete (1.997) procesos activos en estado jurídico, se realizó consulta en la Rama Judicial a mil ochocientos cuarenta (1.840) de ellos, evidenciando una gestión significativa sobre el total de los casos.
Se recomienda al proceso mantener el seguimiento periódico y sistemático de los procesos jurídicos, asegurando la actualización oportuna de la información y la conservación de los soportes que permitan demostrar la gestión realizada, con el fin de garantizar la trazabilidad y el control efectivo de los cobros jurídicos.?</t>
  </si>
  <si>
    <t>De acuerdo con la información reportada para el trimestre evaluado, el indicador asociado a la gestión de cobros jurídicos presenta cumplimiento parcial, toda vez que de los mil novecientos noventa y siete (1.997) procesos activos en estado jurídico, se efectuó revisión en la Rama Judicial a mil quinientos ochenta y tres (1.583), evidenciándose una disminución en la cobertura del seguimiento respecto del total de casos.
Se recomienda al proceso fortalecer la metodología de gestión y seguimiento del cobro jurídico, evaluando la posibilidad de incorporar herramientas tecnológicas que optimicen la consulta y trazabilidad de los procesos, o considerar el apoyo especializado externo que permita mejorar la eficiencia operativa y reducir el número de afiliados morosos en estado jurídico.</t>
  </si>
  <si>
    <t xml:space="preserve">Para el presente trimestre el indiciador no presenta medición. Sin embargo, se evidencia mediante actas que el comité se ha venido reuniendo conforme a lo establecido. Así mismo, se evidencia que el informe presentado en el trimestre anterior aún no cuenta con la aprobación formal del comité.
En consecuencia, al no contar con aprobación el informe presentado, el indicador registra un avance del cincuenta por ciento (50%). </t>
  </si>
  <si>
    <t>De acuerdo con las evidencias revisadas, para el presente trimestre el proceso presentó el informe correspondiente; sin embargo, este no ha sido aprobado por el comité, por lo cual el cumplimiento del indicador es parcial. Se constata, mediante actas, que el comité se ha reunido con la periodicidad acordada y que las sesiones han sido debidamente documentadas.
Se recomienda al proceso gestionar oportunamente la aprobación formal de los informes presentados, dejando constancia expresa en acta, con el fin de garantizar el cumplimiento integral del indicador y la trazabilidad de las decisiones adoptadas por el comité de concilaición y defensa judicial..</t>
  </si>
  <si>
    <t>De acuerdo con las evidencias reportadas, el indicador relacionado con los ingresos presupuestales se cumple en el cuarto trimestre, dado que el proceso registra un recaudo total de $13.888.531.107, el cual supera el valor programado en el PAC de $13.178.350.000.
Se recomienda al proceso fortalecer los mecanismos de planeación, seguimiento y control del recaudo presupuestal, con el fin de mejorar resultados favorables en las próximas vigencias.</t>
  </si>
  <si>
    <t xml:space="preserve">De acuerdo con el Plan Anual de Caja (PAC) 2025, para el cuarto trimestre se tenía programada la ejecución de gastos por valor de $13.178.350.000; sin embargo, la ejecución fue de $10.903.598.710, lo que representa un nivel de cumplimiento del 83% frente a lo proyectado para el periodo. Si bien el porcentaje de ejecución trimestral se mantiene dentro de un rango aceptable de cumplimiento, se recomienda al proceso revisar y ajustar los mecanismos de planeación y seguimiento presupuestal, particularmente en la articulación entre ingresos y egresos, considerando que en el acumulado anual la entidad registró un nivel de gasto superior al recaudo. Se sugiere fortalecer el monitoreo financiero periódico, el análisis de desviaciones y la adopción de medidas correctivas oportunas que permitan garantizar el equilibrio presupuestal y la sostenibilidad financiera de la entidad.
</t>
  </si>
  <si>
    <t>De acuerdo con las evidencias revisadas, durante el cuarto trimestre el proceso dio cumplimiento a lo programado en el plan de mantenimiento, ejecutando cuatro (4) actividades relacionadas con el lavado y desinfección de tanques, higiene en los puestos de trabajo, fumigación y cambio de extintores, conforme a la programación establecida para el periodo.
Se recomienda al proceso fortalecer la planeación integral del plan de mantenimiento, asegurando la definición clara de cronogramas, responsables y frecuencias, así como verificar que las actividades se ejecuten dentro de los tiempos establecidos y en concordancia con la normatividad aplicable, garantizando la trazabilidad y el cumplimiento técnico de las obligaciones institucionales.</t>
  </si>
  <si>
    <t xml:space="preserve">De acuerdo con las evidencias presentadas por el proceso, durante el semestre se registraron treinta y tres (33) desistimientos tácitos de un total de mil novecientos noventa y siete (1.997) procesos activos. En este sentido, el indicador no cumple, toda vez que no se debieron presentar desistimientos en los procesos gestionados.
Se recomienda al proceso fortalecer los mecanismos de seguimiento y control de los términos procesales, con el fin de evitar la ocurrencia de desistimientos tácitos y garantizar la gestión oportuna y efectiva de los procesos jurídicos. </t>
  </si>
  <si>
    <t>Para este trimestre el indicador no presenta seguimiento; sin embargo, Se recomienda al proceso tener bajo control el seguimientoa losprocesos y el control sobre los terminos procesales, para que no se presenten desisitimientos durante el periodo.</t>
  </si>
  <si>
    <t xml:space="preserve">De acuerdo con el seguimiento realizado se videncia diferencias entre ingresos y gasos ejecutados por lo cual se recomienda realizar un comité contable para evaluar alternativas de incremento de recaudo y disminución de gastos.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</si>
</sst>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_);_(@_)"/>
    <numFmt numFmtId="165" formatCode="_-&quot;$ &quot;* #,##0.00_-;&quot;-$ &quot;* #,##0.00_-;_-&quot;$ &quot;* \-??_-;_-@_-"/>
    <numFmt numFmtId="166" formatCode="0\ %"/>
    <numFmt numFmtId="167" formatCode="0.00\ %"/>
    <numFmt numFmtId="168" formatCode="dd/mm/yyyy"/>
    <numFmt numFmtId="169" formatCode="0.0%"/>
    <numFmt numFmtId="170" formatCode="&quot;$ &quot;#,##0.00;[Red]&quot;-$ &quot;#,##0.00"/>
    <numFmt numFmtId="171" formatCode="0.0\ %"/>
    <numFmt numFmtId="172" formatCode="0.0"/>
  </numFmts>
  <fonts count="46" x14ac:knownFonts="1">
    <font>
      <sz val="11"/>
      <color theme="1"/>
      <name val="Calibri"/>
      <charset val="1"/>
    </font>
    <font>
      <sz val="11"/>
      <color rgb="FF000000"/>
      <name val="Calibri"/>
      <family val="2"/>
      <charset val="1"/>
    </font>
    <font>
      <sz val="11"/>
      <color theme="1"/>
      <name val="Calibri"/>
      <family val="2"/>
      <charset val="1"/>
    </font>
    <font>
      <sz val="10"/>
      <name val="Arial"/>
      <family val="2"/>
      <charset val="1"/>
    </font>
    <font>
      <sz val="11"/>
      <name val="Calibri"/>
      <family val="2"/>
      <charset val="1"/>
    </font>
    <font>
      <b/>
      <sz val="11"/>
      <name val="Calibri"/>
      <family val="2"/>
      <charset val="1"/>
    </font>
    <font>
      <sz val="11"/>
      <name val="Arial"/>
      <family val="2"/>
      <charset val="1"/>
    </font>
    <font>
      <b/>
      <sz val="11"/>
      <name val="Arial"/>
      <family val="2"/>
      <charset val="1"/>
    </font>
    <font>
      <b/>
      <sz val="26"/>
      <name val="Arial"/>
      <family val="2"/>
      <charset val="1"/>
    </font>
    <font>
      <b/>
      <sz val="18"/>
      <name val="Arial"/>
      <family val="2"/>
      <charset val="1"/>
    </font>
    <font>
      <sz val="16"/>
      <name val="Arial"/>
      <family val="2"/>
      <charset val="1"/>
    </font>
    <font>
      <b/>
      <sz val="16"/>
      <name val="Arial"/>
      <family val="2"/>
      <charset val="1"/>
    </font>
    <font>
      <b/>
      <sz val="10"/>
      <name val="Arial"/>
      <family val="2"/>
      <charset val="1"/>
    </font>
    <font>
      <sz val="12"/>
      <name val="Arial"/>
      <family val="2"/>
      <charset val="1"/>
    </font>
    <font>
      <b/>
      <sz val="12"/>
      <name val="Arial"/>
      <family val="2"/>
      <charset val="1"/>
    </font>
    <font>
      <sz val="11"/>
      <color theme="1"/>
      <name val="Calibri"/>
      <family val="2"/>
    </font>
    <font>
      <sz val="10"/>
      <name val="Arial"/>
      <family val="2"/>
    </font>
    <font>
      <b/>
      <sz val="10"/>
      <name val="Arial"/>
      <family val="2"/>
    </font>
    <font>
      <b/>
      <sz val="14"/>
      <name val="Arial"/>
      <family val="2"/>
      <charset val="1"/>
    </font>
    <font>
      <sz val="10"/>
      <color theme="1"/>
      <name val="Arial"/>
      <family val="2"/>
      <charset val="1"/>
    </font>
    <font>
      <b/>
      <sz val="22"/>
      <name val="Arial"/>
      <family val="2"/>
      <charset val="1"/>
    </font>
    <font>
      <sz val="10"/>
      <color rgb="FFFF0000"/>
      <name val="Arial"/>
      <family val="2"/>
      <charset val="1"/>
    </font>
    <font>
      <sz val="9"/>
      <name val="Arial"/>
      <family val="2"/>
    </font>
    <font>
      <b/>
      <sz val="9"/>
      <name val="Arial"/>
      <family val="2"/>
    </font>
    <font>
      <sz val="8"/>
      <name val="Arial"/>
      <family val="2"/>
    </font>
    <font>
      <b/>
      <sz val="8"/>
      <name val="Arial"/>
      <family val="2"/>
    </font>
    <font>
      <sz val="8"/>
      <name val="Arial"/>
      <family val="2"/>
      <charset val="1"/>
    </font>
    <font>
      <sz val="10"/>
      <color theme="1"/>
      <name val="Arial"/>
      <family val="2"/>
    </font>
    <font>
      <b/>
      <sz val="10"/>
      <color theme="1"/>
      <name val="Arial"/>
      <family val="2"/>
    </font>
    <font>
      <u/>
      <sz val="10"/>
      <color theme="1"/>
      <name val="Arial"/>
      <family val="2"/>
    </font>
    <font>
      <sz val="9"/>
      <name val="Arial"/>
      <family val="2"/>
      <charset val="1"/>
    </font>
    <font>
      <sz val="11"/>
      <color theme="1"/>
      <name val="Arial"/>
      <family val="2"/>
      <charset val="1"/>
    </font>
    <font>
      <b/>
      <sz val="20"/>
      <color theme="0"/>
      <name val="Arial"/>
      <family val="2"/>
      <charset val="1"/>
    </font>
    <font>
      <b/>
      <sz val="12"/>
      <color theme="0"/>
      <name val="Arial"/>
      <family val="2"/>
      <charset val="1"/>
    </font>
    <font>
      <b/>
      <sz val="11"/>
      <color theme="0"/>
      <name val="Arial"/>
      <family val="2"/>
      <charset val="1"/>
    </font>
    <font>
      <b/>
      <sz val="11"/>
      <color theme="1"/>
      <name val="Arial"/>
      <family val="2"/>
      <charset val="1"/>
    </font>
    <font>
      <b/>
      <sz val="16"/>
      <color theme="0"/>
      <name val="Arial"/>
      <family val="2"/>
      <charset val="1"/>
    </font>
    <font>
      <b/>
      <sz val="10"/>
      <color theme="0"/>
      <name val="Arial"/>
      <family val="2"/>
      <charset val="1"/>
    </font>
    <font>
      <b/>
      <sz val="18"/>
      <color theme="0"/>
      <name val="Calibri"/>
      <family val="2"/>
      <charset val="1"/>
    </font>
    <font>
      <sz val="8"/>
      <color theme="1"/>
      <name val="Arial"/>
      <family val="2"/>
      <charset val="1"/>
    </font>
    <font>
      <b/>
      <sz val="18"/>
      <color theme="0"/>
      <name val="Arial"/>
      <family val="2"/>
      <charset val="1"/>
    </font>
    <font>
      <sz val="12"/>
      <color rgb="FFFF0000"/>
      <name val="Calibri"/>
      <family val="2"/>
      <charset val="1"/>
    </font>
    <font>
      <b/>
      <sz val="14"/>
      <color rgb="FFFF0000"/>
      <name val="Calibri"/>
      <family val="2"/>
      <charset val="1"/>
    </font>
    <font>
      <b/>
      <u/>
      <sz val="10"/>
      <name val="Arial"/>
      <family val="2"/>
    </font>
    <font>
      <sz val="9"/>
      <color theme="1"/>
      <name val="Arial"/>
      <family val="2"/>
      <charset val="1"/>
    </font>
    <font>
      <sz val="10"/>
      <color theme="1" tint="4.9989318521683403E-2"/>
      <name val="Arial"/>
      <family val="2"/>
    </font>
  </fonts>
  <fills count="23">
    <fill>
      <patternFill patternType="none"/>
    </fill>
    <fill>
      <patternFill patternType="gray125"/>
    </fill>
    <fill>
      <patternFill patternType="solid">
        <fgColor theme="0"/>
        <bgColor rgb="FFFFF2CC"/>
      </patternFill>
    </fill>
    <fill>
      <patternFill patternType="solid">
        <fgColor theme="0" tint="-0.14999847407452621"/>
        <bgColor rgb="FFBDD7EE"/>
      </patternFill>
    </fill>
    <fill>
      <patternFill patternType="solid">
        <fgColor theme="9" tint="0.79989013336588644"/>
        <bgColor rgb="FFFBE5D6"/>
      </patternFill>
    </fill>
    <fill>
      <patternFill patternType="solid">
        <fgColor theme="9" tint="0.79998168889431442"/>
        <bgColor rgb="FFFFF2CC"/>
      </patternFill>
    </fill>
    <fill>
      <patternFill patternType="solid">
        <fgColor theme="9" tint="0.79998168889431442"/>
        <bgColor indexed="64"/>
      </patternFill>
    </fill>
    <fill>
      <patternFill patternType="solid">
        <fgColor rgb="FF002060"/>
        <bgColor rgb="FF203864"/>
      </patternFill>
    </fill>
    <fill>
      <patternFill patternType="solid">
        <fgColor theme="7" tint="0.79989013336588644"/>
        <bgColor rgb="FFFBE5D6"/>
      </patternFill>
    </fill>
    <fill>
      <patternFill patternType="solid">
        <fgColor rgb="FF00B050"/>
        <bgColor rgb="FFFFF2CC"/>
      </patternFill>
    </fill>
    <fill>
      <patternFill patternType="solid">
        <fgColor theme="5" tint="0.79998168889431442"/>
        <bgColor rgb="FFFBE5D6"/>
      </patternFill>
    </fill>
    <fill>
      <patternFill patternType="solid">
        <fgColor theme="5" tint="0.79998168889431442"/>
        <bgColor rgb="FFFFF2CC"/>
      </patternFill>
    </fill>
    <fill>
      <patternFill patternType="solid">
        <fgColor theme="5" tint="0.79998168889431442"/>
        <bgColor indexed="64"/>
      </patternFill>
    </fill>
    <fill>
      <patternFill patternType="solid">
        <fgColor theme="8" tint="0.79998168889431442"/>
        <bgColor rgb="FFFBE5D6"/>
      </patternFill>
    </fill>
    <fill>
      <patternFill patternType="solid">
        <fgColor theme="8" tint="0.79998168889431442"/>
        <bgColor rgb="FFFFF2CC"/>
      </patternFill>
    </fill>
    <fill>
      <patternFill patternType="solid">
        <fgColor theme="8" tint="0.79998168889431442"/>
        <bgColor indexed="64"/>
      </patternFill>
    </fill>
    <fill>
      <patternFill patternType="solid">
        <fgColor theme="8" tint="0.79998168889431442"/>
        <bgColor rgb="FFB6D7A8"/>
      </patternFill>
    </fill>
    <fill>
      <patternFill patternType="solid">
        <fgColor theme="8" tint="0.79998168889431442"/>
        <bgColor rgb="FFFBE4D5"/>
      </patternFill>
    </fill>
    <fill>
      <patternFill patternType="solid">
        <fgColor rgb="FFF1FFBF"/>
        <bgColor rgb="FFFBE5D6"/>
      </patternFill>
    </fill>
    <fill>
      <patternFill patternType="solid">
        <fgColor rgb="FFF1FFBF"/>
        <bgColor rgb="FFFFF2CC"/>
      </patternFill>
    </fill>
    <fill>
      <patternFill patternType="solid">
        <fgColor rgb="FFF1FFBF"/>
        <bgColor indexed="64"/>
      </patternFill>
    </fill>
    <fill>
      <patternFill patternType="solid">
        <fgColor rgb="FFF1FFBF"/>
        <bgColor rgb="FFB6D7A8"/>
      </patternFill>
    </fill>
    <fill>
      <patternFill patternType="solid">
        <fgColor rgb="FFF1FFBF"/>
        <bgColor rgb="FFFBE4D5"/>
      </patternFill>
    </fill>
  </fills>
  <borders count="2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bottom/>
      <diagonal/>
    </border>
    <border>
      <left/>
      <right/>
      <top style="medium">
        <color auto="1"/>
      </top>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s>
  <cellStyleXfs count="16">
    <xf numFmtId="0" fontId="0" fillId="0" borderId="0"/>
    <xf numFmtId="166" fontId="15" fillId="0" borderId="0" applyBorder="0" applyProtection="0"/>
    <xf numFmtId="164" fontId="1" fillId="0" borderId="0"/>
    <xf numFmtId="165" fontId="15" fillId="0" borderId="0" applyBorder="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166" fontId="15" fillId="0" borderId="0" applyBorder="0" applyProtection="0"/>
    <xf numFmtId="166" fontId="15" fillId="0" borderId="0" applyBorder="0" applyProtection="0"/>
    <xf numFmtId="0" fontId="15" fillId="0" borderId="0"/>
  </cellStyleXfs>
  <cellXfs count="288">
    <xf numFmtId="0" fontId="0" fillId="0" borderId="0" xfId="0"/>
    <xf numFmtId="0" fontId="2" fillId="0" borderId="0" xfId="0" applyFont="1"/>
    <xf numFmtId="0" fontId="4" fillId="2" borderId="0" xfId="0" applyFont="1" applyFill="1"/>
    <xf numFmtId="0" fontId="4" fillId="2" borderId="0" xfId="0" applyFont="1" applyFill="1" applyAlignment="1">
      <alignment horizontal="center"/>
    </xf>
    <xf numFmtId="0" fontId="5" fillId="2" borderId="0" xfId="0" applyFont="1" applyFill="1"/>
    <xf numFmtId="0" fontId="6" fillId="2" borderId="0" xfId="0" applyFont="1" applyFill="1"/>
    <xf numFmtId="0" fontId="6" fillId="2" borderId="0" xfId="0" applyFont="1" applyFill="1" applyAlignment="1">
      <alignment horizontal="center"/>
    </xf>
    <xf numFmtId="0" fontId="7" fillId="2" borderId="0" xfId="0" applyFont="1" applyFill="1"/>
    <xf numFmtId="4" fontId="3" fillId="2" borderId="0" xfId="0" applyNumberFormat="1" applyFont="1" applyFill="1" applyAlignment="1">
      <alignment horizontal="center" vertical="center"/>
    </xf>
    <xf numFmtId="4" fontId="8" fillId="2" borderId="0" xfId="0" applyNumberFormat="1"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xf numFmtId="0" fontId="13" fillId="2" borderId="0" xfId="0" applyFont="1" applyFill="1" applyAlignment="1">
      <alignment horizontal="center"/>
    </xf>
    <xf numFmtId="0" fontId="14" fillId="2" borderId="0" xfId="0" applyFont="1" applyFill="1"/>
    <xf numFmtId="0" fontId="12" fillId="3" borderId="3"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6" xfId="0" applyFont="1" applyFill="1" applyBorder="1" applyAlignment="1">
      <alignment horizontal="center" vertical="center" textRotation="90" wrapText="1"/>
    </xf>
    <xf numFmtId="167" fontId="12" fillId="3" borderId="6" xfId="0" applyNumberFormat="1" applyFont="1" applyFill="1" applyBorder="1" applyAlignment="1">
      <alignment horizontal="center" vertical="center" textRotation="90" wrapText="1"/>
    </xf>
    <xf numFmtId="0" fontId="12" fillId="3" borderId="3" xfId="0" applyFont="1" applyFill="1" applyBorder="1" applyAlignment="1">
      <alignment horizontal="center" vertical="center" wrapText="1"/>
    </xf>
    <xf numFmtId="0" fontId="12" fillId="3" borderId="7" xfId="0" applyFont="1" applyFill="1" applyBorder="1" applyAlignment="1">
      <alignment vertical="center" wrapText="1"/>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wrapText="1"/>
    </xf>
    <xf numFmtId="167" fontId="12" fillId="2" borderId="1" xfId="0" applyNumberFormat="1" applyFont="1" applyFill="1" applyBorder="1" applyAlignment="1">
      <alignment horizontal="center" vertical="center"/>
    </xf>
    <xf numFmtId="166" fontId="3" fillId="2" borderId="1" xfId="1" applyFont="1" applyFill="1" applyBorder="1" applyAlignment="1" applyProtection="1">
      <alignment horizontal="center" vertical="center"/>
    </xf>
    <xf numFmtId="167" fontId="5" fillId="2" borderId="0" xfId="0" applyNumberFormat="1" applyFont="1" applyFill="1"/>
    <xf numFmtId="1"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xf>
    <xf numFmtId="166" fontId="16" fillId="2" borderId="1" xfId="0" applyNumberFormat="1" applyFont="1" applyFill="1" applyBorder="1" applyAlignment="1">
      <alignment horizontal="center" vertical="center" wrapText="1"/>
    </xf>
    <xf numFmtId="168" fontId="16" fillId="2" borderId="1" xfId="0" applyNumberFormat="1" applyFont="1" applyFill="1" applyBorder="1" applyAlignment="1">
      <alignment horizontal="center" vertical="center"/>
    </xf>
    <xf numFmtId="167" fontId="16" fillId="2" borderId="1" xfId="0" applyNumberFormat="1" applyFont="1" applyFill="1" applyBorder="1" applyAlignment="1">
      <alignment horizontal="center" vertical="center" wrapText="1"/>
    </xf>
    <xf numFmtId="167" fontId="17" fillId="2" borderId="1" xfId="0" applyNumberFormat="1" applyFont="1" applyFill="1" applyBorder="1" applyAlignment="1">
      <alignment horizontal="center" vertical="center"/>
    </xf>
    <xf numFmtId="0" fontId="16" fillId="0" borderId="0" xfId="0" applyFont="1"/>
    <xf numFmtId="1" fontId="16" fillId="2" borderId="1" xfId="0" applyNumberFormat="1" applyFont="1" applyFill="1" applyBorder="1" applyAlignment="1">
      <alignment horizontal="center" vertical="center" wrapText="1"/>
    </xf>
    <xf numFmtId="0" fontId="6" fillId="0" borderId="0" xfId="0" applyFont="1"/>
    <xf numFmtId="167" fontId="12" fillId="2" borderId="8"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0" borderId="1" xfId="0" applyFont="1" applyBorder="1" applyAlignment="1">
      <alignment horizontal="center" vertical="center"/>
    </xf>
    <xf numFmtId="1"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166" fontId="16" fillId="2" borderId="1" xfId="1" applyFont="1" applyFill="1" applyBorder="1" applyAlignment="1" applyProtection="1">
      <alignment horizontal="center" vertical="center"/>
    </xf>
    <xf numFmtId="9" fontId="16" fillId="2" borderId="1" xfId="0" applyNumberFormat="1" applyFont="1" applyFill="1" applyBorder="1" applyAlignment="1">
      <alignment horizontal="center" vertical="center" wrapText="1"/>
    </xf>
    <xf numFmtId="10" fontId="16" fillId="2" borderId="1" xfId="0" applyNumberFormat="1" applyFont="1" applyFill="1" applyBorder="1" applyAlignment="1">
      <alignment horizontal="center" vertical="center" wrapText="1"/>
    </xf>
    <xf numFmtId="167" fontId="12" fillId="0" borderId="1" xfId="0" applyNumberFormat="1" applyFont="1" applyBorder="1" applyAlignment="1">
      <alignment horizontal="center" vertical="center"/>
    </xf>
    <xf numFmtId="167" fontId="3" fillId="2" borderId="4" xfId="0" applyNumberFormat="1" applyFont="1" applyFill="1" applyBorder="1" applyAlignment="1">
      <alignment horizontal="center" vertical="center" wrapText="1"/>
    </xf>
    <xf numFmtId="167" fontId="16" fillId="2" borderId="4" xfId="0" applyNumberFormat="1" applyFont="1" applyFill="1" applyBorder="1" applyAlignment="1">
      <alignment horizontal="center" vertical="center" wrapText="1"/>
    </xf>
    <xf numFmtId="4" fontId="3" fillId="0" borderId="0" xfId="0" applyNumberFormat="1" applyFont="1" applyAlignment="1">
      <alignment vertical="center"/>
    </xf>
    <xf numFmtId="0" fontId="3" fillId="0" borderId="0" xfId="0" applyFont="1"/>
    <xf numFmtId="0" fontId="4" fillId="0" borderId="0" xfId="0" applyFont="1"/>
    <xf numFmtId="0" fontId="12" fillId="3" borderId="1" xfId="0" applyFont="1" applyFill="1" applyBorder="1" applyAlignment="1">
      <alignment vertical="center" wrapText="1"/>
    </xf>
    <xf numFmtId="4" fontId="3" fillId="0" borderId="5" xfId="0" applyNumberFormat="1" applyFont="1" applyBorder="1" applyAlignment="1">
      <alignment vertical="center"/>
    </xf>
    <xf numFmtId="0" fontId="9" fillId="2" borderId="17" xfId="0" applyFont="1" applyFill="1" applyBorder="1" applyAlignment="1">
      <alignment horizontal="left" vertical="center" wrapText="1"/>
    </xf>
    <xf numFmtId="0" fontId="10" fillId="2" borderId="18" xfId="0" applyFont="1" applyFill="1" applyBorder="1" applyAlignment="1">
      <alignment horizontal="left" vertical="center"/>
    </xf>
    <xf numFmtId="4" fontId="3" fillId="0" borderId="14" xfId="0" applyNumberFormat="1" applyFont="1" applyBorder="1" applyAlignment="1">
      <alignment vertical="center"/>
    </xf>
    <xf numFmtId="0" fontId="9" fillId="2" borderId="19" xfId="0" applyFont="1" applyFill="1" applyBorder="1" applyAlignment="1">
      <alignment horizontal="left" vertical="center" wrapText="1"/>
    </xf>
    <xf numFmtId="0" fontId="10" fillId="2" borderId="16" xfId="0" applyFont="1" applyFill="1" applyBorder="1" applyAlignment="1">
      <alignment horizontal="left" vertical="center" wrapText="1"/>
    </xf>
    <xf numFmtId="166" fontId="14" fillId="4" borderId="3" xfId="0" applyNumberFormat="1" applyFont="1" applyFill="1" applyBorder="1" applyAlignment="1">
      <alignment horizontal="center" vertical="center" wrapText="1"/>
    </xf>
    <xf numFmtId="166" fontId="3" fillId="4" borderId="1" xfId="0" applyNumberFormat="1" applyFont="1" applyFill="1" applyBorder="1" applyAlignment="1">
      <alignment horizontal="justify" vertical="center"/>
    </xf>
    <xf numFmtId="166" fontId="3" fillId="4" borderId="3" xfId="0" applyNumberFormat="1" applyFont="1" applyFill="1" applyBorder="1" applyAlignment="1">
      <alignment horizontal="justify" vertical="center" wrapText="1"/>
    </xf>
    <xf numFmtId="1" fontId="3" fillId="5" borderId="1" xfId="1" applyNumberFormat="1" applyFont="1" applyFill="1" applyBorder="1" applyAlignment="1" applyProtection="1">
      <alignment horizontal="center" vertical="center"/>
    </xf>
    <xf numFmtId="167"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xf>
    <xf numFmtId="166" fontId="16" fillId="5" borderId="1" xfId="1" applyFont="1" applyFill="1" applyBorder="1" applyAlignment="1" applyProtection="1">
      <alignment horizontal="center" vertical="center"/>
    </xf>
    <xf numFmtId="167" fontId="16" fillId="5" borderId="1" xfId="0" applyNumberFormat="1" applyFont="1" applyFill="1" applyBorder="1" applyAlignment="1">
      <alignment horizontal="center" vertical="center" wrapText="1"/>
    </xf>
    <xf numFmtId="1" fontId="16" fillId="5" borderId="1" xfId="1" applyNumberFormat="1" applyFont="1" applyFill="1" applyBorder="1" applyAlignment="1" applyProtection="1">
      <alignment horizontal="center" vertical="center"/>
    </xf>
    <xf numFmtId="1" fontId="16" fillId="5" borderId="1" xfId="0" applyNumberFormat="1" applyFont="1" applyFill="1" applyBorder="1" applyAlignment="1">
      <alignment horizontal="center" vertical="center"/>
    </xf>
    <xf numFmtId="2" fontId="16" fillId="5" borderId="1" xfId="1" applyNumberFormat="1" applyFont="1" applyFill="1" applyBorder="1" applyAlignment="1" applyProtection="1">
      <alignment horizontal="center" vertical="center"/>
    </xf>
    <xf numFmtId="167" fontId="16" fillId="5" borderId="1" xfId="1" applyNumberFormat="1" applyFont="1" applyFill="1" applyBorder="1" applyAlignment="1" applyProtection="1">
      <alignment horizontal="center" vertical="center"/>
    </xf>
    <xf numFmtId="169" fontId="16" fillId="6" borderId="1" xfId="1" applyNumberFormat="1" applyFont="1" applyFill="1" applyBorder="1" applyAlignment="1" applyProtection="1">
      <alignment horizontal="center" vertical="center"/>
    </xf>
    <xf numFmtId="1" fontId="3" fillId="5" borderId="1" xfId="0" applyNumberFormat="1" applyFont="1" applyFill="1" applyBorder="1" applyAlignment="1">
      <alignment horizontal="center" vertical="center" wrapText="1"/>
    </xf>
    <xf numFmtId="1" fontId="3" fillId="5" borderId="1" xfId="1" applyNumberFormat="1" applyFont="1" applyFill="1" applyBorder="1" applyAlignment="1" applyProtection="1">
      <alignment horizontal="center" vertical="center" wrapText="1"/>
    </xf>
    <xf numFmtId="1" fontId="3" fillId="6" borderId="1" xfId="0" applyNumberFormat="1" applyFont="1" applyFill="1" applyBorder="1" applyAlignment="1">
      <alignment horizontal="center" vertical="center"/>
    </xf>
    <xf numFmtId="1" fontId="3" fillId="6" borderId="1" xfId="1" applyNumberFormat="1" applyFont="1" applyFill="1" applyBorder="1" applyAlignment="1" applyProtection="1">
      <alignment horizontal="center" vertical="center"/>
    </xf>
    <xf numFmtId="167" fontId="3" fillId="6" borderId="1" xfId="0" applyNumberFormat="1" applyFont="1" applyFill="1" applyBorder="1" applyAlignment="1">
      <alignment horizontal="center" vertical="center" wrapText="1"/>
    </xf>
    <xf numFmtId="3" fontId="3" fillId="5" borderId="1" xfId="1" applyNumberFormat="1" applyFont="1" applyFill="1" applyBorder="1" applyAlignment="1" applyProtection="1">
      <alignment horizontal="center" vertical="center"/>
    </xf>
    <xf numFmtId="0" fontId="16" fillId="5" borderId="1" xfId="0" applyFont="1" applyFill="1" applyBorder="1" applyAlignment="1">
      <alignment horizontal="center" vertical="center" wrapText="1"/>
    </xf>
    <xf numFmtId="0" fontId="16" fillId="5" borderId="1" xfId="1" applyNumberFormat="1" applyFont="1" applyFill="1" applyBorder="1" applyAlignment="1" applyProtection="1">
      <alignment horizontal="center" vertical="center" wrapText="1"/>
    </xf>
    <xf numFmtId="0" fontId="16" fillId="6" borderId="1" xfId="0" applyFont="1" applyFill="1" applyBorder="1" applyAlignment="1">
      <alignment horizontal="justify" vertical="center" wrapText="1"/>
    </xf>
    <xf numFmtId="167" fontId="3" fillId="5" borderId="1" xfId="0" applyNumberFormat="1" applyFont="1" applyFill="1" applyBorder="1" applyAlignment="1">
      <alignment horizontal="justify" vertical="center" wrapText="1"/>
    </xf>
    <xf numFmtId="166" fontId="21" fillId="4" borderId="3" xfId="0" applyNumberFormat="1" applyFont="1" applyFill="1" applyBorder="1" applyAlignment="1">
      <alignment horizontal="justify" vertical="center" wrapText="1"/>
    </xf>
    <xf numFmtId="10" fontId="16" fillId="5" borderId="1" xfId="1" applyNumberFormat="1" applyFont="1" applyFill="1" applyBorder="1" applyAlignment="1" applyProtection="1">
      <alignment horizontal="center" vertical="center"/>
    </xf>
    <xf numFmtId="10" fontId="16" fillId="6" borderId="1" xfId="1" applyNumberFormat="1" applyFont="1" applyFill="1" applyBorder="1" applyAlignment="1" applyProtection="1">
      <alignment horizontal="center" vertical="center"/>
    </xf>
    <xf numFmtId="167" fontId="22" fillId="5" borderId="1" xfId="0" applyNumberFormat="1" applyFont="1" applyFill="1" applyBorder="1" applyAlignment="1">
      <alignment horizontal="justify" vertical="center" wrapText="1"/>
    </xf>
    <xf numFmtId="167" fontId="24" fillId="5" borderId="1" xfId="0" applyNumberFormat="1" applyFont="1" applyFill="1" applyBorder="1" applyAlignment="1">
      <alignment horizontal="justify" vertical="center" wrapText="1"/>
    </xf>
    <xf numFmtId="166" fontId="30" fillId="4" borderId="3" xfId="0" applyNumberFormat="1" applyFont="1" applyFill="1" applyBorder="1" applyAlignment="1">
      <alignment horizontal="justify" vertical="center" wrapText="1"/>
    </xf>
    <xf numFmtId="166" fontId="3" fillId="4" borderId="1" xfId="0" applyNumberFormat="1" applyFont="1" applyFill="1" applyBorder="1" applyAlignment="1">
      <alignment horizontal="justify" vertical="center" wrapText="1"/>
    </xf>
    <xf numFmtId="0" fontId="31" fillId="2" borderId="0" xfId="4" applyFont="1" applyFill="1"/>
    <xf numFmtId="0" fontId="33" fillId="7" borderId="20" xfId="4" applyFont="1" applyFill="1" applyBorder="1" applyAlignment="1">
      <alignment horizontal="center" vertical="center"/>
    </xf>
    <xf numFmtId="0" fontId="34" fillId="7" borderId="6" xfId="4" applyFont="1" applyFill="1" applyBorder="1" applyAlignment="1">
      <alignment horizontal="center" vertical="center" wrapText="1"/>
    </xf>
    <xf numFmtId="0" fontId="34" fillId="7" borderId="21" xfId="4" applyFont="1" applyFill="1" applyBorder="1" applyAlignment="1">
      <alignment horizontal="center" vertical="center" wrapText="1"/>
    </xf>
    <xf numFmtId="167" fontId="6" fillId="8" borderId="22" xfId="4" applyNumberFormat="1" applyFont="1" applyFill="1" applyBorder="1" applyAlignment="1">
      <alignment horizontal="center" vertical="center"/>
    </xf>
    <xf numFmtId="167" fontId="6" fillId="8" borderId="23" xfId="4" applyNumberFormat="1" applyFont="1" applyFill="1" applyBorder="1" applyAlignment="1">
      <alignment horizontal="center" vertical="center"/>
    </xf>
    <xf numFmtId="167" fontId="34" fillId="7" borderId="23" xfId="4" applyNumberFormat="1" applyFont="1" applyFill="1" applyBorder="1" applyAlignment="1">
      <alignment horizontal="center" vertical="center"/>
    </xf>
    <xf numFmtId="166" fontId="15" fillId="0" borderId="0" xfId="1"/>
    <xf numFmtId="170" fontId="31" fillId="2" borderId="0" xfId="4" applyNumberFormat="1" applyFont="1" applyFill="1"/>
    <xf numFmtId="166" fontId="31" fillId="2" borderId="0" xfId="4" applyNumberFormat="1" applyFont="1" applyFill="1" applyAlignment="1">
      <alignment horizontal="center" vertical="center"/>
    </xf>
    <xf numFmtId="167" fontId="31" fillId="2" borderId="0" xfId="4" applyNumberFormat="1" applyFont="1" applyFill="1"/>
    <xf numFmtId="166" fontId="31" fillId="2" borderId="0" xfId="4" applyNumberFormat="1" applyFont="1" applyFill="1"/>
    <xf numFmtId="0" fontId="31" fillId="9" borderId="0" xfId="4" applyFont="1" applyFill="1"/>
    <xf numFmtId="167" fontId="31" fillId="9" borderId="0" xfId="4" applyNumberFormat="1" applyFont="1" applyFill="1" applyAlignment="1">
      <alignment horizontal="center" vertical="center"/>
    </xf>
    <xf numFmtId="0" fontId="31" fillId="2" borderId="0" xfId="15" applyFont="1" applyFill="1"/>
    <xf numFmtId="0" fontId="34" fillId="7" borderId="22" xfId="4" applyFont="1" applyFill="1" applyBorder="1" applyAlignment="1">
      <alignment horizontal="center" vertical="center" wrapText="1"/>
    </xf>
    <xf numFmtId="0" fontId="34" fillId="7" borderId="13" xfId="4" applyFont="1" applyFill="1" applyBorder="1" applyAlignment="1">
      <alignment horizontal="center" vertical="center" wrapText="1"/>
    </xf>
    <xf numFmtId="0" fontId="31" fillId="2" borderId="23" xfId="15" applyFont="1" applyFill="1" applyBorder="1" applyAlignment="1">
      <alignment horizontal="justify" vertical="center"/>
    </xf>
    <xf numFmtId="167" fontId="31" fillId="2" borderId="23" xfId="4" applyNumberFormat="1" applyFont="1" applyFill="1" applyBorder="1" applyAlignment="1">
      <alignment horizontal="center" vertical="center"/>
    </xf>
    <xf numFmtId="0" fontId="34" fillId="7" borderId="1" xfId="5" applyFont="1" applyFill="1" applyBorder="1" applyAlignment="1">
      <alignment horizontal="center" vertical="center" wrapText="1"/>
    </xf>
    <xf numFmtId="167" fontId="34" fillId="7" borderId="1" xfId="4" applyNumberFormat="1" applyFont="1" applyFill="1" applyBorder="1" applyAlignment="1">
      <alignment horizontal="center" vertical="center"/>
    </xf>
    <xf numFmtId="0" fontId="31" fillId="2" borderId="0" xfId="4" applyFont="1" applyFill="1" applyAlignment="1">
      <alignment vertical="center"/>
    </xf>
    <xf numFmtId="0" fontId="34" fillId="7" borderId="1" xfId="4" applyFont="1" applyFill="1" applyBorder="1" applyAlignment="1">
      <alignment horizontal="center" vertical="center" wrapText="1"/>
    </xf>
    <xf numFmtId="0" fontId="34" fillId="7" borderId="4" xfId="4" applyFont="1" applyFill="1" applyBorder="1" applyAlignment="1">
      <alignment horizontal="center" vertical="center" wrapText="1"/>
    </xf>
    <xf numFmtId="0" fontId="19" fillId="2" borderId="22" xfId="5" applyFont="1" applyFill="1" applyBorder="1" applyAlignment="1">
      <alignment horizontal="justify" vertical="center" wrapText="1"/>
    </xf>
    <xf numFmtId="167" fontId="19" fillId="2" borderId="22" xfId="4" applyNumberFormat="1" applyFont="1" applyFill="1" applyBorder="1" applyAlignment="1">
      <alignment horizontal="center" vertical="center"/>
    </xf>
    <xf numFmtId="0" fontId="37" fillId="7" borderId="1" xfId="5" applyFont="1" applyFill="1" applyBorder="1" applyAlignment="1">
      <alignment horizontal="left" vertical="center" wrapText="1"/>
    </xf>
    <xf numFmtId="0" fontId="2" fillId="2" borderId="0" xfId="4" applyFill="1"/>
    <xf numFmtId="0" fontId="19" fillId="2" borderId="8" xfId="5" applyFont="1" applyFill="1" applyBorder="1" applyAlignment="1">
      <alignment horizontal="justify" vertical="center" wrapText="1"/>
    </xf>
    <xf numFmtId="167" fontId="19" fillId="2" borderId="24" xfId="4" applyNumberFormat="1" applyFont="1" applyFill="1" applyBorder="1" applyAlignment="1">
      <alignment horizontal="center" vertical="center"/>
    </xf>
    <xf numFmtId="0" fontId="39" fillId="2" borderId="4" xfId="15" applyFont="1" applyFill="1" applyBorder="1" applyAlignment="1">
      <alignment horizontal="justify" vertical="center"/>
    </xf>
    <xf numFmtId="0" fontId="39" fillId="2" borderId="1" xfId="15" applyFont="1" applyFill="1" applyBorder="1" applyAlignment="1">
      <alignment horizontal="justify" vertical="center"/>
    </xf>
    <xf numFmtId="0" fontId="37" fillId="7" borderId="1" xfId="5" applyFont="1" applyFill="1" applyBorder="1" applyAlignment="1">
      <alignment horizontal="center" vertical="center" wrapText="1"/>
    </xf>
    <xf numFmtId="167" fontId="34" fillId="7" borderId="6" xfId="4" applyNumberFormat="1" applyFont="1" applyFill="1" applyBorder="1" applyAlignment="1">
      <alignment horizontal="center" vertical="center"/>
    </xf>
    <xf numFmtId="0" fontId="19" fillId="2" borderId="4" xfId="15" applyFont="1" applyFill="1" applyBorder="1" applyAlignment="1">
      <alignment horizontal="justify" vertical="center"/>
    </xf>
    <xf numFmtId="0" fontId="19" fillId="2" borderId="1" xfId="15" applyFont="1" applyFill="1" applyBorder="1" applyAlignment="1">
      <alignment horizontal="justify" vertical="center"/>
    </xf>
    <xf numFmtId="0" fontId="4" fillId="2" borderId="0" xfId="4" applyFont="1" applyFill="1"/>
    <xf numFmtId="0" fontId="3" fillId="2" borderId="1" xfId="5" applyFont="1" applyFill="1" applyBorder="1" applyAlignment="1">
      <alignment horizontal="justify" vertical="center"/>
    </xf>
    <xf numFmtId="167" fontId="3" fillId="2" borderId="1" xfId="4" applyNumberFormat="1" applyFont="1" applyFill="1" applyBorder="1" applyAlignment="1">
      <alignment horizontal="center" vertical="center"/>
    </xf>
    <xf numFmtId="167" fontId="37" fillId="7" borderId="1" xfId="1" applyNumberFormat="1" applyFont="1" applyFill="1" applyBorder="1" applyAlignment="1" applyProtection="1">
      <alignment horizontal="center" vertical="center"/>
    </xf>
    <xf numFmtId="0" fontId="3" fillId="2" borderId="0" xfId="4" applyFont="1" applyFill="1"/>
    <xf numFmtId="0" fontId="3" fillId="2" borderId="1" xfId="4" applyFont="1" applyFill="1" applyBorder="1" applyAlignment="1">
      <alignment horizontal="justify" vertical="center"/>
    </xf>
    <xf numFmtId="167" fontId="31" fillId="2" borderId="1" xfId="4" applyNumberFormat="1" applyFont="1" applyFill="1" applyBorder="1" applyAlignment="1">
      <alignment horizontal="center" vertical="center"/>
    </xf>
    <xf numFmtId="0" fontId="19" fillId="2" borderId="1" xfId="5" applyFont="1" applyFill="1" applyBorder="1" applyAlignment="1">
      <alignment horizontal="justify" vertical="center"/>
    </xf>
    <xf numFmtId="166" fontId="31" fillId="2" borderId="1" xfId="4" applyNumberFormat="1" applyFont="1" applyFill="1" applyBorder="1" applyAlignment="1">
      <alignment horizontal="center" vertical="center"/>
    </xf>
    <xf numFmtId="166" fontId="31" fillId="2" borderId="1" xfId="1" applyFont="1" applyFill="1" applyBorder="1" applyAlignment="1" applyProtection="1">
      <alignment horizontal="center" vertical="center"/>
    </xf>
    <xf numFmtId="0" fontId="39" fillId="2" borderId="4" xfId="0" applyFont="1" applyFill="1" applyBorder="1" applyAlignment="1">
      <alignment horizontal="justify" vertical="center"/>
    </xf>
    <xf numFmtId="0" fontId="39" fillId="2" borderId="1" xfId="0" applyFont="1" applyFill="1" applyBorder="1" applyAlignment="1">
      <alignment horizontal="justify" vertical="center"/>
    </xf>
    <xf numFmtId="0" fontId="31" fillId="2" borderId="0" xfId="4" applyFont="1" applyFill="1" applyAlignment="1">
      <alignment horizontal="center"/>
    </xf>
    <xf numFmtId="171" fontId="15" fillId="0" borderId="0" xfId="1" applyNumberFormat="1"/>
    <xf numFmtId="167" fontId="42" fillId="2" borderId="0" xfId="0" applyNumberFormat="1" applyFont="1" applyFill="1" applyAlignment="1">
      <alignment horizontal="center"/>
    </xf>
    <xf numFmtId="166" fontId="14" fillId="10" borderId="3" xfId="0" applyNumberFormat="1" applyFont="1" applyFill="1" applyBorder="1" applyAlignment="1">
      <alignment horizontal="center" vertical="center" wrapText="1"/>
    </xf>
    <xf numFmtId="167" fontId="3" fillId="11" borderId="1" xfId="0" applyNumberFormat="1" applyFont="1" applyFill="1" applyBorder="1" applyAlignment="1">
      <alignment horizontal="justify" vertical="center" wrapText="1"/>
    </xf>
    <xf numFmtId="166" fontId="3" fillId="10" borderId="3" xfId="0" applyNumberFormat="1" applyFont="1" applyFill="1" applyBorder="1" applyAlignment="1">
      <alignment horizontal="justify" vertical="center" wrapText="1"/>
    </xf>
    <xf numFmtId="0" fontId="16" fillId="12" borderId="1" xfId="0" applyFont="1" applyFill="1" applyBorder="1" applyAlignment="1">
      <alignment horizontal="justify" vertical="center" wrapText="1"/>
    </xf>
    <xf numFmtId="166" fontId="30" fillId="10" borderId="3" xfId="0" applyNumberFormat="1" applyFont="1" applyFill="1" applyBorder="1" applyAlignment="1">
      <alignment horizontal="justify" vertical="center" wrapText="1"/>
    </xf>
    <xf numFmtId="166" fontId="3" fillId="10" borderId="1" xfId="0" applyNumberFormat="1" applyFont="1" applyFill="1" applyBorder="1" applyAlignment="1">
      <alignment horizontal="justify" vertical="center" wrapText="1"/>
    </xf>
    <xf numFmtId="1" fontId="3" fillId="11" borderId="1" xfId="1" applyNumberFormat="1" applyFont="1" applyFill="1" applyBorder="1" applyAlignment="1" applyProtection="1">
      <alignment horizontal="center" vertical="center"/>
    </xf>
    <xf numFmtId="167" fontId="3" fillId="11" borderId="1" xfId="0" applyNumberFormat="1" applyFont="1" applyFill="1" applyBorder="1" applyAlignment="1">
      <alignment horizontal="center" vertical="center" wrapText="1"/>
    </xf>
    <xf numFmtId="1" fontId="3" fillId="11" borderId="1" xfId="0" applyNumberFormat="1" applyFont="1" applyFill="1" applyBorder="1" applyAlignment="1">
      <alignment horizontal="center" vertical="center"/>
    </xf>
    <xf numFmtId="166" fontId="16" fillId="11" borderId="1" xfId="1" applyFont="1" applyFill="1" applyBorder="1" applyAlignment="1" applyProtection="1">
      <alignment horizontal="center" vertical="center"/>
    </xf>
    <xf numFmtId="167" fontId="16" fillId="11" borderId="1" xfId="0" applyNumberFormat="1" applyFont="1" applyFill="1" applyBorder="1" applyAlignment="1">
      <alignment horizontal="center" vertical="center" wrapText="1"/>
    </xf>
    <xf numFmtId="1" fontId="16" fillId="11" borderId="1" xfId="1" applyNumberFormat="1" applyFont="1" applyFill="1" applyBorder="1" applyAlignment="1" applyProtection="1">
      <alignment horizontal="center" vertical="center"/>
    </xf>
    <xf numFmtId="1" fontId="16" fillId="11" borderId="1" xfId="0" applyNumberFormat="1" applyFont="1" applyFill="1" applyBorder="1" applyAlignment="1">
      <alignment horizontal="center" vertical="center"/>
    </xf>
    <xf numFmtId="2" fontId="16" fillId="11" borderId="1" xfId="1" applyNumberFormat="1" applyFont="1" applyFill="1" applyBorder="1" applyAlignment="1" applyProtection="1">
      <alignment horizontal="center" vertical="center"/>
    </xf>
    <xf numFmtId="167" fontId="16" fillId="11" borderId="1" xfId="1" applyNumberFormat="1" applyFont="1" applyFill="1" applyBorder="1" applyAlignment="1" applyProtection="1">
      <alignment horizontal="center" vertical="center"/>
    </xf>
    <xf numFmtId="169" fontId="16" fillId="11" borderId="1" xfId="1" applyNumberFormat="1" applyFont="1" applyFill="1" applyBorder="1" applyAlignment="1" applyProtection="1">
      <alignment horizontal="center" vertical="center"/>
    </xf>
    <xf numFmtId="1" fontId="3" fillId="12" borderId="1" xfId="1" applyNumberFormat="1" applyFont="1" applyFill="1" applyBorder="1" applyAlignment="1" applyProtection="1">
      <alignment horizontal="center" vertical="center"/>
    </xf>
    <xf numFmtId="1" fontId="3" fillId="12" borderId="1" xfId="0" applyNumberFormat="1" applyFont="1" applyFill="1" applyBorder="1" applyAlignment="1">
      <alignment horizontal="center" vertical="center"/>
    </xf>
    <xf numFmtId="167" fontId="3" fillId="12" borderId="1" xfId="0" applyNumberFormat="1" applyFont="1" applyFill="1" applyBorder="1" applyAlignment="1">
      <alignment horizontal="center" vertical="center" wrapText="1"/>
    </xf>
    <xf numFmtId="3" fontId="3" fillId="11" borderId="1" xfId="1" applyNumberFormat="1" applyFont="1" applyFill="1" applyBorder="1" applyAlignment="1" applyProtection="1">
      <alignment horizontal="center" vertical="center"/>
    </xf>
    <xf numFmtId="0" fontId="16" fillId="11" borderId="1" xfId="0" applyFont="1" applyFill="1" applyBorder="1" applyAlignment="1">
      <alignment horizontal="center" vertical="center" wrapText="1"/>
    </xf>
    <xf numFmtId="0" fontId="16" fillId="11" borderId="1" xfId="1" applyNumberFormat="1" applyFont="1" applyFill="1" applyBorder="1" applyAlignment="1" applyProtection="1">
      <alignment horizontal="center" vertical="center" wrapText="1"/>
    </xf>
    <xf numFmtId="169" fontId="16" fillId="12" borderId="0" xfId="0" applyNumberFormat="1" applyFont="1" applyFill="1" applyAlignment="1">
      <alignment horizontal="center" vertical="center"/>
    </xf>
    <xf numFmtId="169" fontId="16" fillId="12" borderId="1" xfId="0" applyNumberFormat="1" applyFont="1" applyFill="1" applyBorder="1" applyAlignment="1">
      <alignment horizontal="center" vertical="center"/>
    </xf>
    <xf numFmtId="167" fontId="16" fillId="11" borderId="1" xfId="0" applyNumberFormat="1" applyFont="1" applyFill="1" applyBorder="1" applyAlignment="1">
      <alignment horizontal="justify" vertical="top" wrapText="1"/>
    </xf>
    <xf numFmtId="172" fontId="3" fillId="5" borderId="1" xfId="0" applyNumberFormat="1" applyFont="1" applyFill="1" applyBorder="1" applyAlignment="1">
      <alignment horizontal="center" vertical="center"/>
    </xf>
    <xf numFmtId="0" fontId="44" fillId="2" borderId="4" xfId="15" applyFont="1" applyFill="1" applyBorder="1" applyAlignment="1">
      <alignment horizontal="justify" vertical="center"/>
    </xf>
    <xf numFmtId="0" fontId="44" fillId="2" borderId="1" xfId="15" applyFont="1" applyFill="1" applyBorder="1" applyAlignment="1">
      <alignment horizontal="justify" vertical="center"/>
    </xf>
    <xf numFmtId="166" fontId="14" fillId="13" borderId="3" xfId="0" applyNumberFormat="1" applyFont="1" applyFill="1" applyBorder="1" applyAlignment="1">
      <alignment horizontal="center" vertical="center" wrapText="1"/>
    </xf>
    <xf numFmtId="167" fontId="3" fillId="14" borderId="1" xfId="0" applyNumberFormat="1" applyFont="1" applyFill="1" applyBorder="1" applyAlignment="1">
      <alignment horizontal="justify" vertical="center" wrapText="1"/>
    </xf>
    <xf numFmtId="166" fontId="3" fillId="13" borderId="3" xfId="0" applyNumberFormat="1" applyFont="1" applyFill="1" applyBorder="1" applyAlignment="1">
      <alignment horizontal="justify" vertical="center" wrapText="1"/>
    </xf>
    <xf numFmtId="0" fontId="16" fillId="15" borderId="1" xfId="0" applyFont="1" applyFill="1" applyBorder="1" applyAlignment="1">
      <alignment horizontal="justify" vertical="center" wrapText="1"/>
    </xf>
    <xf numFmtId="167" fontId="3" fillId="14" borderId="1" xfId="0" applyNumberFormat="1" applyFont="1" applyFill="1" applyBorder="1" applyAlignment="1">
      <alignment horizontal="center" vertical="center" wrapText="1"/>
    </xf>
    <xf numFmtId="166" fontId="30" fillId="13" borderId="3" xfId="0" applyNumberFormat="1" applyFont="1" applyFill="1" applyBorder="1" applyAlignment="1">
      <alignment horizontal="justify" vertical="center" wrapText="1"/>
    </xf>
    <xf numFmtId="166" fontId="3" fillId="13" borderId="1" xfId="0" applyNumberFormat="1" applyFont="1" applyFill="1" applyBorder="1" applyAlignment="1">
      <alignment horizontal="justify" vertical="center" wrapText="1"/>
    </xf>
    <xf numFmtId="1" fontId="3" fillId="14" borderId="1" xfId="1" applyNumberFormat="1" applyFont="1" applyFill="1" applyBorder="1" applyAlignment="1" applyProtection="1">
      <alignment horizontal="center" vertical="center"/>
    </xf>
    <xf numFmtId="2" fontId="3" fillId="14" borderId="1" xfId="0" applyNumberFormat="1" applyFont="1" applyFill="1" applyBorder="1" applyAlignment="1">
      <alignment horizontal="center" vertical="center"/>
    </xf>
    <xf numFmtId="1" fontId="3" fillId="14" borderId="1" xfId="0" applyNumberFormat="1" applyFont="1" applyFill="1" applyBorder="1" applyAlignment="1">
      <alignment horizontal="center" vertical="center"/>
    </xf>
    <xf numFmtId="166" fontId="16" fillId="14" borderId="1" xfId="1" applyFont="1" applyFill="1" applyBorder="1" applyAlignment="1" applyProtection="1">
      <alignment horizontal="center" vertical="center"/>
    </xf>
    <xf numFmtId="167" fontId="16" fillId="14" borderId="1" xfId="0" applyNumberFormat="1" applyFont="1" applyFill="1" applyBorder="1" applyAlignment="1">
      <alignment horizontal="center" vertical="center" wrapText="1"/>
    </xf>
    <xf numFmtId="1" fontId="16" fillId="14" borderId="1" xfId="1" applyNumberFormat="1" applyFont="1" applyFill="1" applyBorder="1" applyAlignment="1" applyProtection="1">
      <alignment horizontal="center" vertical="center"/>
    </xf>
    <xf numFmtId="1" fontId="16" fillId="14" borderId="1" xfId="0" applyNumberFormat="1" applyFont="1" applyFill="1" applyBorder="1" applyAlignment="1">
      <alignment horizontal="center" vertical="center"/>
    </xf>
    <xf numFmtId="2" fontId="16" fillId="14" borderId="1" xfId="1" applyNumberFormat="1" applyFont="1" applyFill="1" applyBorder="1" applyAlignment="1" applyProtection="1">
      <alignment horizontal="center" vertical="center"/>
    </xf>
    <xf numFmtId="167" fontId="16" fillId="14" borderId="1" xfId="1" applyNumberFormat="1" applyFont="1" applyFill="1" applyBorder="1" applyAlignment="1" applyProtection="1">
      <alignment horizontal="center" vertical="center"/>
    </xf>
    <xf numFmtId="10" fontId="16" fillId="14" borderId="1" xfId="0" applyNumberFormat="1" applyFont="1" applyFill="1" applyBorder="1" applyAlignment="1">
      <alignment horizontal="center" vertical="center"/>
    </xf>
    <xf numFmtId="1" fontId="3" fillId="14" borderId="1" xfId="0" applyNumberFormat="1" applyFont="1" applyFill="1" applyBorder="1" applyAlignment="1">
      <alignment horizontal="center" vertical="center" wrapText="1"/>
    </xf>
    <xf numFmtId="1" fontId="3" fillId="14" borderId="1" xfId="1" applyNumberFormat="1" applyFont="1" applyFill="1" applyBorder="1" applyAlignment="1" applyProtection="1">
      <alignment horizontal="center" vertical="center" wrapText="1"/>
    </xf>
    <xf numFmtId="1" fontId="3" fillId="15" borderId="1" xfId="1" applyNumberFormat="1" applyFont="1" applyFill="1" applyBorder="1" applyAlignment="1" applyProtection="1">
      <alignment horizontal="center" vertical="center"/>
    </xf>
    <xf numFmtId="1" fontId="3" fillId="15" borderId="1" xfId="0" applyNumberFormat="1" applyFont="1" applyFill="1" applyBorder="1" applyAlignment="1">
      <alignment horizontal="center" vertical="center"/>
    </xf>
    <xf numFmtId="167" fontId="3" fillId="15" borderId="1" xfId="0" applyNumberFormat="1" applyFont="1" applyFill="1" applyBorder="1" applyAlignment="1">
      <alignment horizontal="center" vertical="center" wrapText="1"/>
    </xf>
    <xf numFmtId="167" fontId="16" fillId="14" borderId="1" xfId="0" applyNumberFormat="1" applyFont="1" applyFill="1" applyBorder="1" applyAlignment="1">
      <alignment horizontal="justify" vertical="center" wrapText="1"/>
    </xf>
    <xf numFmtId="167" fontId="16" fillId="14" borderId="1" xfId="0" applyNumberFormat="1" applyFont="1" applyFill="1" applyBorder="1" applyAlignment="1">
      <alignment horizontal="justify" vertical="top" wrapText="1"/>
    </xf>
    <xf numFmtId="166" fontId="21" fillId="13" borderId="3" xfId="0" applyNumberFormat="1" applyFont="1" applyFill="1" applyBorder="1" applyAlignment="1">
      <alignment horizontal="justify" vertical="center" wrapText="1"/>
    </xf>
    <xf numFmtId="172" fontId="3" fillId="14" borderId="1" xfId="1" applyNumberFormat="1" applyFont="1" applyFill="1" applyBorder="1" applyAlignment="1" applyProtection="1">
      <alignment horizontal="center" vertical="center"/>
    </xf>
    <xf numFmtId="171" fontId="16" fillId="14" borderId="1" xfId="1" applyNumberFormat="1" applyFont="1" applyFill="1" applyBorder="1" applyAlignment="1" applyProtection="1">
      <alignment horizontal="center" vertical="center"/>
    </xf>
    <xf numFmtId="167" fontId="27" fillId="16" borderId="25" xfId="0" applyNumberFormat="1" applyFont="1" applyFill="1" applyBorder="1" applyAlignment="1">
      <alignment horizontal="left" vertical="center" wrapText="1"/>
    </xf>
    <xf numFmtId="0" fontId="27" fillId="17" borderId="25" xfId="0" applyFont="1" applyFill="1" applyBorder="1" applyAlignment="1">
      <alignment horizontal="left" vertical="center" wrapText="1"/>
    </xf>
    <xf numFmtId="3" fontId="3" fillId="14" borderId="1" xfId="1" applyNumberFormat="1" applyFont="1" applyFill="1" applyBorder="1" applyAlignment="1" applyProtection="1">
      <alignment horizontal="center" vertical="center"/>
    </xf>
    <xf numFmtId="169" fontId="16" fillId="15" borderId="1" xfId="0" applyNumberFormat="1" applyFont="1" applyFill="1" applyBorder="1" applyAlignment="1">
      <alignment horizontal="center" vertical="center"/>
    </xf>
    <xf numFmtId="9" fontId="16" fillId="14" borderId="1" xfId="1" applyNumberFormat="1" applyFont="1" applyFill="1" applyBorder="1" applyAlignment="1" applyProtection="1">
      <alignment horizontal="center" vertical="center"/>
    </xf>
    <xf numFmtId="166" fontId="14" fillId="18" borderId="3" xfId="0" applyNumberFormat="1" applyFont="1" applyFill="1" applyBorder="1" applyAlignment="1">
      <alignment horizontal="center" vertical="center" wrapText="1"/>
    </xf>
    <xf numFmtId="167" fontId="3" fillId="19" borderId="1" xfId="0" applyNumberFormat="1" applyFont="1" applyFill="1" applyBorder="1" applyAlignment="1">
      <alignment horizontal="justify" vertical="center" wrapText="1"/>
    </xf>
    <xf numFmtId="166" fontId="3" fillId="18" borderId="3" xfId="0" applyNumberFormat="1" applyFont="1" applyFill="1" applyBorder="1" applyAlignment="1">
      <alignment horizontal="justify" vertical="center" wrapText="1"/>
    </xf>
    <xf numFmtId="0" fontId="16" fillId="20" borderId="1" xfId="0" applyFont="1" applyFill="1" applyBorder="1" applyAlignment="1">
      <alignment horizontal="justify" vertical="center" wrapText="1"/>
    </xf>
    <xf numFmtId="167" fontId="16" fillId="19" borderId="1" xfId="0" applyNumberFormat="1" applyFont="1" applyFill="1" applyBorder="1" applyAlignment="1">
      <alignment horizontal="justify" vertical="top" wrapText="1"/>
    </xf>
    <xf numFmtId="167" fontId="3" fillId="19" borderId="1" xfId="0" applyNumberFormat="1" applyFont="1" applyFill="1" applyBorder="1" applyAlignment="1">
      <alignment horizontal="center" vertical="center" wrapText="1"/>
    </xf>
    <xf numFmtId="167" fontId="16" fillId="19" borderId="1" xfId="0" applyNumberFormat="1" applyFont="1" applyFill="1" applyBorder="1" applyAlignment="1">
      <alignment horizontal="justify" vertical="center" wrapText="1"/>
    </xf>
    <xf numFmtId="167" fontId="27" fillId="21" borderId="25" xfId="0" applyNumberFormat="1" applyFont="1" applyFill="1" applyBorder="1" applyAlignment="1">
      <alignment horizontal="left" vertical="center" wrapText="1"/>
    </xf>
    <xf numFmtId="0" fontId="27" fillId="22" borderId="25"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 fontId="3" fillId="19" borderId="1" xfId="1" applyNumberFormat="1" applyFont="1" applyFill="1" applyBorder="1" applyAlignment="1" applyProtection="1">
      <alignment horizontal="center" vertical="center"/>
    </xf>
    <xf numFmtId="1" fontId="3" fillId="19" borderId="1" xfId="0" applyNumberFormat="1" applyFont="1" applyFill="1" applyBorder="1" applyAlignment="1">
      <alignment horizontal="center" vertical="center"/>
    </xf>
    <xf numFmtId="166" fontId="15" fillId="20" borderId="1" xfId="1" applyFill="1" applyBorder="1" applyAlignment="1">
      <alignment horizontal="center" vertical="center"/>
    </xf>
    <xf numFmtId="166" fontId="16" fillId="19" borderId="1" xfId="1" applyFont="1" applyFill="1" applyBorder="1" applyAlignment="1" applyProtection="1">
      <alignment horizontal="center" vertical="center"/>
    </xf>
    <xf numFmtId="167" fontId="16" fillId="19" borderId="1" xfId="0" applyNumberFormat="1" applyFont="1" applyFill="1" applyBorder="1" applyAlignment="1">
      <alignment horizontal="center" vertical="center" wrapText="1"/>
    </xf>
    <xf numFmtId="1" fontId="16" fillId="19" borderId="1" xfId="1" applyNumberFormat="1" applyFont="1" applyFill="1" applyBorder="1" applyAlignment="1" applyProtection="1">
      <alignment horizontal="center" vertical="center"/>
    </xf>
    <xf numFmtId="1" fontId="16" fillId="19" borderId="1" xfId="0" applyNumberFormat="1" applyFont="1" applyFill="1" applyBorder="1" applyAlignment="1">
      <alignment horizontal="center" vertical="center"/>
    </xf>
    <xf numFmtId="2" fontId="16" fillId="19" borderId="1" xfId="1" applyNumberFormat="1" applyFont="1" applyFill="1" applyBorder="1" applyAlignment="1" applyProtection="1">
      <alignment horizontal="center" vertical="center"/>
    </xf>
    <xf numFmtId="167" fontId="16" fillId="19" borderId="1" xfId="1" applyNumberFormat="1" applyFont="1" applyFill="1" applyBorder="1" applyAlignment="1" applyProtection="1">
      <alignment horizontal="center" vertical="center"/>
    </xf>
    <xf numFmtId="166" fontId="16" fillId="19" borderId="1" xfId="0" applyNumberFormat="1" applyFont="1" applyFill="1" applyBorder="1" applyAlignment="1">
      <alignment horizontal="center" vertical="center" wrapText="1"/>
    </xf>
    <xf numFmtId="10" fontId="16" fillId="19" borderId="1" xfId="0" applyNumberFormat="1" applyFont="1" applyFill="1" applyBorder="1" applyAlignment="1">
      <alignment horizontal="center" vertical="center"/>
    </xf>
    <xf numFmtId="171" fontId="16" fillId="19" borderId="1" xfId="1" applyNumberFormat="1" applyFont="1" applyFill="1" applyBorder="1" applyAlignment="1" applyProtection="1">
      <alignment horizontal="center" vertical="center"/>
    </xf>
    <xf numFmtId="1" fontId="3" fillId="20" borderId="1" xfId="1" applyNumberFormat="1" applyFont="1" applyFill="1" applyBorder="1" applyAlignment="1" applyProtection="1">
      <alignment horizontal="center" vertical="center"/>
    </xf>
    <xf numFmtId="1" fontId="3" fillId="20" borderId="1" xfId="0" applyNumberFormat="1" applyFont="1" applyFill="1" applyBorder="1" applyAlignment="1">
      <alignment horizontal="center" vertical="center"/>
    </xf>
    <xf numFmtId="167" fontId="3" fillId="20" borderId="1" xfId="0" applyNumberFormat="1" applyFont="1" applyFill="1" applyBorder="1" applyAlignment="1">
      <alignment horizontal="center" vertical="center" wrapText="1"/>
    </xf>
    <xf numFmtId="3" fontId="3" fillId="19" borderId="1" xfId="1" applyNumberFormat="1" applyFont="1" applyFill="1" applyBorder="1" applyAlignment="1" applyProtection="1">
      <alignment horizontal="center" vertical="center"/>
    </xf>
    <xf numFmtId="172" fontId="16" fillId="11" borderId="1" xfId="0" applyNumberFormat="1" applyFont="1" applyFill="1" applyBorder="1" applyAlignment="1">
      <alignment horizontal="center" vertical="center"/>
    </xf>
    <xf numFmtId="172" fontId="16" fillId="19"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2" xfId="0" applyFont="1" applyFill="1" applyBorder="1" applyAlignment="1">
      <alignment horizontal="center" vertical="center" wrapText="1"/>
    </xf>
    <xf numFmtId="4" fontId="20" fillId="2" borderId="8" xfId="0" applyNumberFormat="1" applyFont="1" applyFill="1" applyBorder="1" applyAlignment="1">
      <alignment horizontal="right" vertical="center"/>
    </xf>
    <xf numFmtId="4" fontId="20" fillId="2" borderId="2" xfId="0" applyNumberFormat="1" applyFont="1" applyFill="1" applyBorder="1" applyAlignment="1">
      <alignment horizontal="right" vertical="center"/>
    </xf>
    <xf numFmtId="4" fontId="8" fillId="2" borderId="1"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0" fontId="18" fillId="3" borderId="11" xfId="0" applyFont="1" applyFill="1" applyBorder="1" applyAlignment="1">
      <alignment horizontal="center" vertical="center"/>
    </xf>
    <xf numFmtId="167" fontId="12" fillId="2" borderId="1" xfId="1" applyNumberFormat="1" applyFont="1" applyFill="1" applyBorder="1" applyAlignment="1" applyProtection="1">
      <alignment horizontal="center" vertical="center"/>
    </xf>
    <xf numFmtId="0" fontId="18"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xf>
    <xf numFmtId="4" fontId="8"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4" fontId="3" fillId="0" borderId="5"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3"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0" borderId="0" xfId="0" applyNumberFormat="1" applyFont="1" applyAlignment="1">
      <alignment horizontal="center" vertical="center"/>
    </xf>
    <xf numFmtId="4" fontId="3" fillId="0" borderId="12" xfId="0" applyNumberFormat="1" applyFont="1" applyBorder="1" applyAlignment="1">
      <alignment horizontal="center" vertical="center"/>
    </xf>
    <xf numFmtId="4" fontId="3" fillId="0" borderId="14"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3" fillId="0" borderId="16"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41" fillId="0" borderId="0" xfId="0" applyFont="1" applyAlignment="1">
      <alignment horizontal="center" vertical="center"/>
    </xf>
    <xf numFmtId="167" fontId="12" fillId="2" borderId="4" xfId="0" applyNumberFormat="1" applyFont="1" applyFill="1" applyBorder="1" applyAlignment="1">
      <alignment horizontal="center" vertical="center"/>
    </xf>
    <xf numFmtId="167" fontId="12" fillId="2" borderId="13" xfId="0" applyNumberFormat="1" applyFont="1" applyFill="1" applyBorder="1" applyAlignment="1">
      <alignment horizontal="center" vertical="center"/>
    </xf>
    <xf numFmtId="167" fontId="12" fillId="2" borderId="6" xfId="0" applyNumberFormat="1" applyFont="1" applyFill="1" applyBorder="1" applyAlignment="1">
      <alignment horizontal="center" vertical="center"/>
    </xf>
    <xf numFmtId="167" fontId="17" fillId="2" borderId="1" xfId="0" applyNumberFormat="1" applyFont="1" applyFill="1" applyBorder="1" applyAlignment="1">
      <alignment horizontal="center" vertical="center"/>
    </xf>
    <xf numFmtId="167" fontId="12" fillId="2" borderId="1" xfId="0" applyNumberFormat="1" applyFont="1" applyFill="1" applyBorder="1" applyAlignment="1">
      <alignment horizontal="center" vertical="center"/>
    </xf>
    <xf numFmtId="167" fontId="17" fillId="2" borderId="6" xfId="0" applyNumberFormat="1" applyFont="1" applyFill="1" applyBorder="1" applyAlignment="1">
      <alignment horizontal="center" vertical="center"/>
    </xf>
    <xf numFmtId="167" fontId="17" fillId="2" borderId="4" xfId="0" applyNumberFormat="1" applyFont="1" applyFill="1" applyBorder="1" applyAlignment="1">
      <alignment horizontal="center" vertical="center"/>
    </xf>
    <xf numFmtId="167" fontId="17" fillId="2" borderId="13" xfId="0" applyNumberFormat="1" applyFont="1" applyFill="1" applyBorder="1" applyAlignment="1">
      <alignment horizontal="center" vertical="center"/>
    </xf>
    <xf numFmtId="0" fontId="32" fillId="7" borderId="1" xfId="4" applyFont="1" applyFill="1" applyBorder="1" applyAlignment="1">
      <alignment horizontal="center" wrapText="1"/>
    </xf>
    <xf numFmtId="167" fontId="35" fillId="8" borderId="4" xfId="4" applyNumberFormat="1" applyFont="1" applyFill="1" applyBorder="1" applyAlignment="1">
      <alignment horizontal="center" vertical="center"/>
    </xf>
    <xf numFmtId="167" fontId="35" fillId="8" borderId="13" xfId="4" applyNumberFormat="1" applyFont="1" applyFill="1" applyBorder="1" applyAlignment="1">
      <alignment horizontal="center" vertical="center"/>
    </xf>
    <xf numFmtId="167" fontId="35" fillId="8" borderId="6" xfId="4" applyNumberFormat="1" applyFont="1" applyFill="1" applyBorder="1" applyAlignment="1">
      <alignment horizontal="center" vertical="center"/>
    </xf>
    <xf numFmtId="0" fontId="36" fillId="7" borderId="1" xfId="4" applyFont="1" applyFill="1" applyBorder="1" applyAlignment="1">
      <alignment horizontal="center"/>
    </xf>
    <xf numFmtId="0" fontId="36" fillId="7" borderId="1" xfId="4" applyFont="1" applyFill="1" applyBorder="1" applyAlignment="1">
      <alignment horizontal="center" vertical="center"/>
    </xf>
    <xf numFmtId="0" fontId="38" fillId="7" borderId="1" xfId="4" applyFont="1" applyFill="1" applyBorder="1" applyAlignment="1">
      <alignment horizontal="center"/>
    </xf>
    <xf numFmtId="0" fontId="40" fillId="7" borderId="1" xfId="4" applyFont="1" applyFill="1" applyBorder="1" applyAlignment="1">
      <alignment horizontal="center" vertical="center"/>
    </xf>
    <xf numFmtId="0" fontId="34" fillId="7" borderId="1" xfId="4" applyFont="1" applyFill="1" applyBorder="1" applyAlignment="1">
      <alignment horizontal="center"/>
    </xf>
    <xf numFmtId="0" fontId="33" fillId="7" borderId="1" xfId="4" applyFont="1" applyFill="1" applyBorder="1" applyAlignment="1">
      <alignment horizontal="center"/>
    </xf>
    <xf numFmtId="0" fontId="34" fillId="7" borderId="1" xfId="4" applyFont="1" applyFill="1" applyBorder="1" applyAlignment="1">
      <alignment horizontal="center" vertical="center"/>
    </xf>
  </cellXfs>
  <cellStyles count="16">
    <cellStyle name="Millares 2 2" xfId="2" xr:uid="{00000000-0005-0000-0000-000006000000}"/>
    <cellStyle name="Moneda 2" xfId="3" xr:uid="{00000000-0005-0000-0000-000007000000}"/>
    <cellStyle name="Normal" xfId="0" builtinId="0"/>
    <cellStyle name="Normal 2" xfId="4" xr:uid="{00000000-0005-0000-0000-000008000000}"/>
    <cellStyle name="Normal 2 2" xfId="5" xr:uid="{00000000-0005-0000-0000-000009000000}"/>
    <cellStyle name="Normal 2 2 2" xfId="6" xr:uid="{00000000-0005-0000-0000-00000A000000}"/>
    <cellStyle name="Normal 2 2 3" xfId="7" xr:uid="{00000000-0005-0000-0000-00000B000000}"/>
    <cellStyle name="Normal 2 2 4" xfId="8" xr:uid="{00000000-0005-0000-0000-00000C000000}"/>
    <cellStyle name="Normal 2 3" xfId="9" xr:uid="{00000000-0005-0000-0000-00000D000000}"/>
    <cellStyle name="Normal 2 4" xfId="10" xr:uid="{00000000-0005-0000-0000-00000E000000}"/>
    <cellStyle name="Normal 3" xfId="11" xr:uid="{00000000-0005-0000-0000-00000F000000}"/>
    <cellStyle name="Normal 4" xfId="12" xr:uid="{00000000-0005-0000-0000-000010000000}"/>
    <cellStyle name="Normal 5" xfId="15" xr:uid="{906EF950-6531-41C4-9E20-5560521F7C03}"/>
    <cellStyle name="Porcentaje" xfId="1" builtinId="5"/>
    <cellStyle name="Porcentaje 2" xfId="13" xr:uid="{00000000-0005-0000-0000-000011000000}"/>
    <cellStyle name="Porcentaje 4" xfId="14"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B8B8B"/>
      <rgbColor rgb="FF9999FF"/>
      <rgbColor rgb="FF993366"/>
      <rgbColor rgb="FFFFF2CC"/>
      <rgbColor rgb="FFD9D9D9"/>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E2F0D9"/>
      <rgbColor rgb="FFFBE5D6"/>
      <rgbColor rgb="FF99CCFF"/>
      <rgbColor rgb="FFFF99CC"/>
      <rgbColor rgb="FFCC99FF"/>
      <rgbColor rgb="FFF4B183"/>
      <rgbColor rgb="FF4472C4"/>
      <rgbColor rgb="FF33CCCC"/>
      <rgbColor rgb="FF92D050"/>
      <rgbColor rgb="FFFFCC00"/>
      <rgbColor rgb="FFFF9900"/>
      <rgbColor rgb="FFED7D31"/>
      <rgbColor rgb="FF666699"/>
      <rgbColor rgb="FFA6A6A6"/>
      <rgbColor rgb="FF002060"/>
      <rgbColor rgb="FF339966"/>
      <rgbColor rgb="FF003300"/>
      <rgbColor rgb="FF385623"/>
      <rgbColor rgb="FF993300"/>
      <rgbColor rgb="FF993366"/>
      <rgbColor rgb="FF333399"/>
      <rgbColor rgb="FF203864"/>
      <rgbColor rgb="00003366"/>
      <rgbColor rgb="00339966"/>
      <rgbColor rgb="00003300"/>
      <rgbColor rgb="00333300"/>
      <rgbColor rgb="00993300"/>
      <rgbColor rgb="00993366"/>
      <rgbColor rgb="00333399"/>
      <rgbColor rgb="00333333"/>
    </indexedColors>
    <mruColors>
      <color rgb="FFF1FFBF"/>
      <color rgb="FFE8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CUMPLIMIENTO PLAN DE ACCIÓN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'Cumplimiento 2025'!$B$14</c:f>
              <c:strCache>
                <c:ptCount val="1"/>
                <c:pt idx="0">
                  <c:v>1 MER TRIM</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2025'!$C$14:$N$14</c:f>
              <c:numCache>
                <c:formatCode>0\ %</c:formatCode>
                <c:ptCount val="12"/>
                <c:pt idx="0">
                  <c:v>0.125</c:v>
                </c:pt>
                <c:pt idx="1">
                  <c:v>0.22775397065116162</c:v>
                </c:pt>
                <c:pt idx="2">
                  <c:v>0.16319444444444445</c:v>
                </c:pt>
                <c:pt idx="3">
                  <c:v>0.19340219092331767</c:v>
                </c:pt>
                <c:pt idx="4">
                  <c:v>0.24137931034482757</c:v>
                </c:pt>
                <c:pt idx="5">
                  <c:v>0.25</c:v>
                </c:pt>
                <c:pt idx="6">
                  <c:v>0.2</c:v>
                </c:pt>
                <c:pt idx="7">
                  <c:v>0.13020833333333334</c:v>
                </c:pt>
                <c:pt idx="8">
                  <c:v>0.24510100470920371</c:v>
                </c:pt>
                <c:pt idx="9">
                  <c:v>0.21220648227422803</c:v>
                </c:pt>
                <c:pt idx="10">
                  <c:v>5.5648148148148148E-2</c:v>
                </c:pt>
                <c:pt idx="11">
                  <c:v>0.11413043478260869</c:v>
                </c:pt>
              </c:numCache>
            </c:numRef>
          </c:val>
          <c:extLst>
            <c:ext xmlns:c16="http://schemas.microsoft.com/office/drawing/2014/chart" uri="{C3380CC4-5D6E-409C-BE32-E72D297353CC}">
              <c16:uniqueId val="{00000000-1225-4161-A980-F280C327B8BD}"/>
            </c:ext>
          </c:extLst>
        </c:ser>
        <c:ser>
          <c:idx val="1"/>
          <c:order val="1"/>
          <c:tx>
            <c:strRef>
              <c:f>'Cumplimiento 2025'!$B$15</c:f>
              <c:strCache>
                <c:ptCount val="1"/>
                <c:pt idx="0">
                  <c:v>2 DO TRIM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2025'!$C$15:$N$15</c:f>
              <c:numCache>
                <c:formatCode>0\ %</c:formatCode>
                <c:ptCount val="12"/>
                <c:pt idx="0">
                  <c:v>0.25</c:v>
                </c:pt>
                <c:pt idx="1">
                  <c:v>0.25</c:v>
                </c:pt>
                <c:pt idx="2">
                  <c:v>0.31007751937984496</c:v>
                </c:pt>
                <c:pt idx="3">
                  <c:v>0.20519631185807655</c:v>
                </c:pt>
                <c:pt idx="4">
                  <c:v>0.24008620689655172</c:v>
                </c:pt>
                <c:pt idx="5">
                  <c:v>0.24747474747474749</c:v>
                </c:pt>
                <c:pt idx="6">
                  <c:v>0.17785714285714288</c:v>
                </c:pt>
                <c:pt idx="7">
                  <c:v>0.26874999999999999</c:v>
                </c:pt>
                <c:pt idx="8">
                  <c:v>0.13775137136631102</c:v>
                </c:pt>
                <c:pt idx="9">
                  <c:v>0.21574323742657769</c:v>
                </c:pt>
                <c:pt idx="10">
                  <c:v>0.27970237858905894</c:v>
                </c:pt>
                <c:pt idx="11">
                  <c:v>0.35942028985507246</c:v>
                </c:pt>
              </c:numCache>
            </c:numRef>
          </c:val>
          <c:extLst>
            <c:ext xmlns:c16="http://schemas.microsoft.com/office/drawing/2014/chart" uri="{C3380CC4-5D6E-409C-BE32-E72D297353CC}">
              <c16:uniqueId val="{00000001-1225-4161-A980-F280C327B8BD}"/>
            </c:ext>
          </c:extLst>
        </c:ser>
        <c:ser>
          <c:idx val="2"/>
          <c:order val="2"/>
          <c:tx>
            <c:strRef>
              <c:f>'Cumplimiento 2025'!$B$16</c:f>
              <c:strCache>
                <c:ptCount val="1"/>
                <c:pt idx="0">
                  <c:v>3 CER TRIM</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2025'!$C$16:$N$16</c:f>
              <c:numCache>
                <c:formatCode>0\ %</c:formatCode>
                <c:ptCount val="12"/>
                <c:pt idx="0">
                  <c:v>0.4218023255813953</c:v>
                </c:pt>
                <c:pt idx="1">
                  <c:v>0.23828125</c:v>
                </c:pt>
                <c:pt idx="2">
                  <c:v>0.16666666666666666</c:v>
                </c:pt>
                <c:pt idx="3">
                  <c:v>0.19098164483649649</c:v>
                </c:pt>
                <c:pt idx="4">
                  <c:v>0.24159482758620687</c:v>
                </c:pt>
                <c:pt idx="5">
                  <c:v>0.25</c:v>
                </c:pt>
                <c:pt idx="6">
                  <c:v>0.20298157724628313</c:v>
                </c:pt>
                <c:pt idx="7">
                  <c:v>0.10694444444444444</c:v>
                </c:pt>
                <c:pt idx="8">
                  <c:v>0.19963760742500267</c:v>
                </c:pt>
                <c:pt idx="9">
                  <c:v>0.23308515331461135</c:v>
                </c:pt>
                <c:pt idx="10">
                  <c:v>7.6781839425805368E-2</c:v>
                </c:pt>
                <c:pt idx="11">
                  <c:v>0.20833333333333334</c:v>
                </c:pt>
              </c:numCache>
            </c:numRef>
          </c:val>
          <c:extLst>
            <c:ext xmlns:c16="http://schemas.microsoft.com/office/drawing/2014/chart" uri="{C3380CC4-5D6E-409C-BE32-E72D297353CC}">
              <c16:uniqueId val="{00000002-1225-4161-A980-F280C327B8BD}"/>
            </c:ext>
          </c:extLst>
        </c:ser>
        <c:ser>
          <c:idx val="3"/>
          <c:order val="3"/>
          <c:tx>
            <c:strRef>
              <c:f>'Cumplimiento 2025'!$B$17</c:f>
              <c:strCache>
                <c:ptCount val="1"/>
                <c:pt idx="0">
                  <c:v>4 TO TRIM</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2025'!$C$17:$N$17</c:f>
              <c:numCache>
                <c:formatCode>0\ %</c:formatCode>
                <c:ptCount val="12"/>
                <c:pt idx="0">
                  <c:v>0.11979166666666666</c:v>
                </c:pt>
                <c:pt idx="1">
                  <c:v>0.25</c:v>
                </c:pt>
                <c:pt idx="2">
                  <c:v>0.35069444444444448</c:v>
                </c:pt>
                <c:pt idx="3">
                  <c:v>0.18519097222222222</c:v>
                </c:pt>
                <c:pt idx="4">
                  <c:v>0.24466177169226838</c:v>
                </c:pt>
                <c:pt idx="5">
                  <c:v>0.21545584045584043</c:v>
                </c:pt>
                <c:pt idx="6">
                  <c:v>0.16797235023041474</c:v>
                </c:pt>
                <c:pt idx="7">
                  <c:v>0.19770491042420865</c:v>
                </c:pt>
                <c:pt idx="8">
                  <c:v>0.23589302871783924</c:v>
                </c:pt>
                <c:pt idx="9">
                  <c:v>0.17861683343459972</c:v>
                </c:pt>
                <c:pt idx="10">
                  <c:v>0.23547821732598898</c:v>
                </c:pt>
                <c:pt idx="11">
                  <c:v>0.22697368421052633</c:v>
                </c:pt>
              </c:numCache>
            </c:numRef>
          </c:val>
          <c:extLst>
            <c:ext xmlns:c16="http://schemas.microsoft.com/office/drawing/2014/chart" uri="{C3380CC4-5D6E-409C-BE32-E72D297353CC}">
              <c16:uniqueId val="{00000003-1225-4161-A980-F280C327B8BD}"/>
            </c:ext>
          </c:extLst>
        </c:ser>
        <c:dLbls>
          <c:showLegendKey val="0"/>
          <c:showVal val="1"/>
          <c:showCatName val="0"/>
          <c:showSerName val="0"/>
          <c:showPercent val="0"/>
          <c:showBubbleSize val="0"/>
        </c:dLbls>
        <c:gapWidth val="150"/>
        <c:axId val="1377898351"/>
        <c:axId val="1377897391"/>
      </c:barChart>
      <c:catAx>
        <c:axId val="137789835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1377897391"/>
        <c:crosses val="autoZero"/>
        <c:auto val="1"/>
        <c:lblAlgn val="ctr"/>
        <c:lblOffset val="100"/>
        <c:noMultiLvlLbl val="0"/>
      </c:catAx>
      <c:valAx>
        <c:axId val="1377897391"/>
        <c:scaling>
          <c:orientation val="minMax"/>
        </c:scaling>
        <c:delete val="1"/>
        <c:axPos val="l"/>
        <c:numFmt formatCode="0\ %" sourceLinked="1"/>
        <c:majorTickMark val="none"/>
        <c:minorTickMark val="none"/>
        <c:tickLblPos val="nextTo"/>
        <c:crossAx val="137789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r>
              <a:rPr lang="es-419"/>
              <a:t>%</a:t>
            </a:r>
            <a:r>
              <a:rPr lang="es-419" baseline="0"/>
              <a:t> DE CUMPLIMIENTO POR PROCESO</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2.1194804732430888E-2"/>
          <c:y val="1.7259167685410515E-2"/>
          <c:w val="0.97409523866036229"/>
          <c:h val="0.86467349191401199"/>
        </c:manualLayout>
      </c:layout>
      <c:barChart>
        <c:barDir val="col"/>
        <c:grouping val="stacked"/>
        <c:varyColors val="0"/>
        <c:ser>
          <c:idx val="0"/>
          <c:order val="0"/>
          <c:spPr>
            <a:solidFill>
              <a:schemeClr val="accent2"/>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01-AE07-4945-9CED-67F55C6F8510}"/>
              </c:ext>
            </c:extLst>
          </c:dPt>
          <c:dPt>
            <c:idx val="1"/>
            <c:invertIfNegative val="0"/>
            <c:bubble3D val="0"/>
            <c:spPr>
              <a:solidFill>
                <a:srgbClr val="00B050"/>
              </a:solidFill>
              <a:ln>
                <a:noFill/>
              </a:ln>
              <a:effectLst/>
            </c:spPr>
            <c:extLst>
              <c:ext xmlns:c16="http://schemas.microsoft.com/office/drawing/2014/chart" uri="{C3380CC4-5D6E-409C-BE32-E72D297353CC}">
                <c16:uniqueId val="{00000003-AE07-4945-9CED-67F55C6F8510}"/>
              </c:ext>
            </c:extLst>
          </c:dPt>
          <c:dPt>
            <c:idx val="2"/>
            <c:invertIfNegative val="0"/>
            <c:bubble3D val="0"/>
            <c:spPr>
              <a:solidFill>
                <a:srgbClr val="00B0F0"/>
              </a:solidFill>
              <a:ln>
                <a:noFill/>
              </a:ln>
              <a:effectLst/>
            </c:spPr>
            <c:extLst>
              <c:ext xmlns:c16="http://schemas.microsoft.com/office/drawing/2014/chart" uri="{C3380CC4-5D6E-409C-BE32-E72D297353CC}">
                <c16:uniqueId val="{00000005-AE07-4945-9CED-67F55C6F8510}"/>
              </c:ext>
            </c:extLst>
          </c:dPt>
          <c:dPt>
            <c:idx val="3"/>
            <c:invertIfNegative val="0"/>
            <c:bubble3D val="0"/>
            <c:spPr>
              <a:solidFill>
                <a:srgbClr val="7030A0"/>
              </a:solidFill>
              <a:ln>
                <a:noFill/>
              </a:ln>
              <a:effectLst/>
            </c:spPr>
            <c:extLst>
              <c:ext xmlns:c16="http://schemas.microsoft.com/office/drawing/2014/chart" uri="{C3380CC4-5D6E-409C-BE32-E72D297353CC}">
                <c16:uniqueId val="{00000007-AE07-4945-9CED-67F55C6F8510}"/>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AE07-4945-9CED-67F55C6F8510}"/>
              </c:ext>
            </c:extLst>
          </c:dPt>
          <c:dPt>
            <c:idx val="6"/>
            <c:invertIfNegative val="0"/>
            <c:bubble3D val="0"/>
            <c:spPr>
              <a:solidFill>
                <a:srgbClr val="FF66CC"/>
              </a:solidFill>
              <a:ln>
                <a:noFill/>
              </a:ln>
              <a:effectLst/>
            </c:spPr>
            <c:extLst>
              <c:ext xmlns:c16="http://schemas.microsoft.com/office/drawing/2014/chart" uri="{C3380CC4-5D6E-409C-BE32-E72D297353CC}">
                <c16:uniqueId val="{0000000B-AE07-4945-9CED-67F55C6F8510}"/>
              </c:ext>
            </c:extLst>
          </c:dPt>
          <c:dPt>
            <c:idx val="7"/>
            <c:invertIfNegative val="0"/>
            <c:bubble3D val="0"/>
            <c:spPr>
              <a:solidFill>
                <a:srgbClr val="FF0000"/>
              </a:solidFill>
              <a:ln>
                <a:noFill/>
              </a:ln>
              <a:effectLst/>
            </c:spPr>
            <c:extLst>
              <c:ext xmlns:c16="http://schemas.microsoft.com/office/drawing/2014/chart" uri="{C3380CC4-5D6E-409C-BE32-E72D297353CC}">
                <c16:uniqueId val="{0000000D-AE07-4945-9CED-67F55C6F8510}"/>
              </c:ext>
            </c:extLst>
          </c:dPt>
          <c:dPt>
            <c:idx val="8"/>
            <c:invertIfNegative val="0"/>
            <c:bubble3D val="0"/>
            <c:spPr>
              <a:solidFill>
                <a:srgbClr val="FFFF00"/>
              </a:solidFill>
              <a:ln>
                <a:noFill/>
              </a:ln>
              <a:effectLst/>
            </c:spPr>
            <c:extLst>
              <c:ext xmlns:c16="http://schemas.microsoft.com/office/drawing/2014/chart" uri="{C3380CC4-5D6E-409C-BE32-E72D297353CC}">
                <c16:uniqueId val="{0000000F-AE07-4945-9CED-67F55C6F8510}"/>
              </c:ext>
            </c:extLst>
          </c:dPt>
          <c:dPt>
            <c:idx val="9"/>
            <c:invertIfNegative val="0"/>
            <c:bubble3D val="0"/>
            <c:spPr>
              <a:solidFill>
                <a:srgbClr val="15EBEB"/>
              </a:solidFill>
              <a:ln>
                <a:noFill/>
              </a:ln>
              <a:effectLst/>
            </c:spPr>
            <c:extLst>
              <c:ext xmlns:c16="http://schemas.microsoft.com/office/drawing/2014/chart" uri="{C3380CC4-5D6E-409C-BE32-E72D297353CC}">
                <c16:uniqueId val="{00000011-AE07-4945-9CED-67F55C6F8510}"/>
              </c:ext>
            </c:extLst>
          </c:dPt>
          <c:dPt>
            <c:idx val="10"/>
            <c:invertIfNegative val="0"/>
            <c:bubble3D val="0"/>
            <c:spPr>
              <a:solidFill>
                <a:srgbClr val="6666FF"/>
              </a:solidFill>
              <a:ln>
                <a:noFill/>
              </a:ln>
              <a:effectLst/>
            </c:spPr>
            <c:extLst>
              <c:ext xmlns:c16="http://schemas.microsoft.com/office/drawing/2014/chart" uri="{C3380CC4-5D6E-409C-BE32-E72D297353CC}">
                <c16:uniqueId val="{00000013-AE07-4945-9CED-67F55C6F8510}"/>
              </c:ext>
            </c:extLst>
          </c:dPt>
          <c:dLbls>
            <c:dLbl>
              <c:idx val="0"/>
              <c:layout>
                <c:manualLayout>
                  <c:x val="-1.177489151801716E-3"/>
                  <c:y val="-0.37979782002522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7-4945-9CED-67F55C6F8510}"/>
                </c:ext>
              </c:extLst>
            </c:dLbl>
            <c:dLbl>
              <c:idx val="1"/>
              <c:layout>
                <c:manualLayout>
                  <c:x val="2.3549783036034104E-3"/>
                  <c:y val="-0.366340833092009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7-4945-9CED-67F55C6F8510}"/>
                </c:ext>
              </c:extLst>
            </c:dLbl>
            <c:dLbl>
              <c:idx val="2"/>
              <c:layout>
                <c:manualLayout>
                  <c:x val="-2.354978303603475E-3"/>
                  <c:y val="-0.348483949196813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7-4945-9CED-67F55C6F8510}"/>
                </c:ext>
              </c:extLst>
            </c:dLbl>
            <c:dLbl>
              <c:idx val="3"/>
              <c:layout>
                <c:manualLayout>
                  <c:x val="1.177489151801716E-3"/>
                  <c:y val="-0.283022811439971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7-4945-9CED-67F55C6F8510}"/>
                </c:ext>
              </c:extLst>
            </c:dLbl>
            <c:dLbl>
              <c:idx val="4"/>
              <c:layout>
                <c:manualLayout>
                  <c:x val="-1.177489151801716E-3"/>
                  <c:y val="-0.318624152369493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07-4945-9CED-67F55C6F8510}"/>
                </c:ext>
              </c:extLst>
            </c:dLbl>
            <c:dLbl>
              <c:idx val="5"/>
              <c:layout>
                <c:manualLayout>
                  <c:x val="1.177489151801716E-3"/>
                  <c:y val="-0.359665039716433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E07-4945-9CED-67F55C6F8510}"/>
                </c:ext>
              </c:extLst>
            </c:dLbl>
            <c:dLbl>
              <c:idx val="6"/>
              <c:layout>
                <c:manualLayout>
                  <c:x val="4.7099566072067774E-3"/>
                  <c:y val="-0.322887402854296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07-4945-9CED-67F55C6F8510}"/>
                </c:ext>
              </c:extLst>
            </c:dLbl>
            <c:dLbl>
              <c:idx val="7"/>
              <c:layout>
                <c:manualLayout>
                  <c:x val="-8.6348206963603948E-17"/>
                  <c:y val="-0.306788534194435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07-4945-9CED-67F55C6F8510}"/>
                </c:ext>
              </c:extLst>
            </c:dLbl>
            <c:dLbl>
              <c:idx val="8"/>
              <c:layout>
                <c:manualLayout>
                  <c:x val="-1.177489151801716E-3"/>
                  <c:y val="-0.3586599256397978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07-4945-9CED-67F55C6F8510}"/>
                </c:ext>
              </c:extLst>
            </c:dLbl>
            <c:dLbl>
              <c:idx val="9"/>
              <c:layout>
                <c:manualLayout>
                  <c:x val="0"/>
                  <c:y val="-0.37091415446703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07-4945-9CED-67F55C6F8510}"/>
                </c:ext>
              </c:extLst>
            </c:dLbl>
            <c:dLbl>
              <c:idx val="10"/>
              <c:layout>
                <c:manualLayout>
                  <c:x val="2.3549783036034321E-3"/>
                  <c:y val="-0.3151188861727369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07-4945-9CED-67F55C6F8510}"/>
                </c:ext>
              </c:extLst>
            </c:dLbl>
            <c:spPr>
              <a:noFill/>
              <a:ln>
                <a:noFill/>
              </a:ln>
              <a:effectLst/>
            </c:spPr>
            <c:txPr>
              <a:bodyPr rot="0" spcFirstLastPara="1" vertOverflow="ellipsis" vert="horz" wrap="square" lIns="38100" tIns="19050" rIns="38100" bIns="19050" anchor="t" anchorCtr="0">
                <a:spAutoFit/>
              </a:bodyPr>
              <a:lstStyle/>
              <a:p>
                <a:pPr>
                  <a:defRPr sz="1050" b="1" i="0" u="none" strike="noStrike" kern="1200" baseline="0">
                    <a:ln>
                      <a:noFill/>
                    </a:ln>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2025'!$C$18:$N$18</c:f>
              <c:numCache>
                <c:formatCode>0.00\ %</c:formatCode>
                <c:ptCount val="12"/>
                <c:pt idx="0">
                  <c:v>0.91659399224806193</c:v>
                </c:pt>
                <c:pt idx="1">
                  <c:v>0.96603522065116165</c:v>
                </c:pt>
                <c:pt idx="2">
                  <c:v>0.99063307493540043</c:v>
                </c:pt>
                <c:pt idx="3">
                  <c:v>0.77477111984011293</c:v>
                </c:pt>
                <c:pt idx="4">
                  <c:v>0.96772211651985462</c:v>
                </c:pt>
                <c:pt idx="5">
                  <c:v>0.96293058793058794</c:v>
                </c:pt>
                <c:pt idx="6">
                  <c:v>0.74881107033384064</c:v>
                </c:pt>
                <c:pt idx="7">
                  <c:v>0.70360768820198638</c:v>
                </c:pt>
                <c:pt idx="8">
                  <c:v>0.81838301221835663</c:v>
                </c:pt>
                <c:pt idx="9">
                  <c:v>0.83965170645001685</c:v>
                </c:pt>
                <c:pt idx="10">
                  <c:v>0.64761058348900147</c:v>
                </c:pt>
                <c:pt idx="11">
                  <c:v>0.90885774218154081</c:v>
                </c:pt>
              </c:numCache>
            </c:numRef>
          </c:val>
          <c:extLst>
            <c:ext xmlns:c16="http://schemas.microsoft.com/office/drawing/2014/chart" uri="{C3380CC4-5D6E-409C-BE32-E72D297353CC}">
              <c16:uniqueId val="{00000015-AE07-4945-9CED-67F55C6F8510}"/>
            </c:ext>
          </c:extLst>
        </c:ser>
        <c:dLbls>
          <c:showLegendKey val="0"/>
          <c:showVal val="1"/>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1336576480"/>
        <c:axId val="1336576960"/>
      </c:barChart>
      <c:dateAx>
        <c:axId val="133657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0"/>
          <a:lstStyle/>
          <a:p>
            <a:pPr>
              <a:defRPr sz="1000" b="0" i="0" u="none" strike="noStrike" kern="1200" baseline="0">
                <a:ln>
                  <a:noFill/>
                </a:ln>
                <a:solidFill>
                  <a:schemeClr val="tx2"/>
                </a:solidFill>
                <a:latin typeface="+mn-lt"/>
                <a:ea typeface="+mn-ea"/>
                <a:cs typeface="+mn-cs"/>
              </a:defRPr>
            </a:pPr>
            <a:endParaRPr lang="es-CO"/>
          </a:p>
        </c:txPr>
        <c:crossAx val="1336576960"/>
        <c:crosses val="autoZero"/>
        <c:auto val="0"/>
        <c:lblOffset val="100"/>
        <c:baseTimeUnit val="days"/>
      </c:dateAx>
      <c:valAx>
        <c:axId val="1336576960"/>
        <c:scaling>
          <c:orientation val="minMax"/>
        </c:scaling>
        <c:delete val="1"/>
        <c:axPos val="l"/>
        <c:numFmt formatCode="0.00\ %" sourceLinked="1"/>
        <c:majorTickMark val="out"/>
        <c:minorTickMark val="none"/>
        <c:tickLblPos val="nextTo"/>
        <c:crossAx val="1336576480"/>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rot="5400000" vert="horz" anchor="t" anchorCtr="0"/>
    <a:lstStyle/>
    <a:p>
      <a:pPr>
        <a:defRPr>
          <a:ln>
            <a:noFill/>
          </a:ln>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1193425</xdr:colOff>
      <xdr:row>21</xdr:row>
      <xdr:rowOff>113179</xdr:rowOff>
    </xdr:from>
    <xdr:to>
      <xdr:col>14</xdr:col>
      <xdr:colOff>963705</xdr:colOff>
      <xdr:row>48</xdr:row>
      <xdr:rowOff>33617</xdr:rowOff>
    </xdr:to>
    <xdr:graphicFrame macro="">
      <xdr:nvGraphicFramePr>
        <xdr:cNvPr id="2" name="Gráfico 1">
          <a:extLst>
            <a:ext uri="{FF2B5EF4-FFF2-40B4-BE49-F238E27FC236}">
              <a16:creationId xmlns:a16="http://schemas.microsoft.com/office/drawing/2014/main" id="{82D99225-B3C9-4F07-8C86-A206F3492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438896</xdr:colOff>
      <xdr:row>51</xdr:row>
      <xdr:rowOff>34737</xdr:rowOff>
    </xdr:from>
    <xdr:to>
      <xdr:col>14</xdr:col>
      <xdr:colOff>108323</xdr:colOff>
      <xdr:row>88</xdr:row>
      <xdr:rowOff>89647</xdr:rowOff>
    </xdr:to>
    <xdr:graphicFrame macro="">
      <xdr:nvGraphicFramePr>
        <xdr:cNvPr id="3" name="Gráfico 2">
          <a:extLst>
            <a:ext uri="{FF2B5EF4-FFF2-40B4-BE49-F238E27FC236}">
              <a16:creationId xmlns:a16="http://schemas.microsoft.com/office/drawing/2014/main" id="{1E987863-C96B-4BED-B14F-E3C6379ED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2"/>
  <sheetViews>
    <sheetView showGridLines="0" tabSelected="1" zoomScale="85" zoomScaleNormal="85" workbookViewId="0">
      <pane xSplit="5" ySplit="10" topLeftCell="AP56" activePane="bottomRight" state="frozen"/>
      <selection pane="topRight" activeCell="E1" sqref="E1"/>
      <selection pane="bottomLeft" activeCell="A11" sqref="A11"/>
      <selection pane="bottomRight" activeCell="AR57" sqref="AR57"/>
    </sheetView>
  </sheetViews>
  <sheetFormatPr baseColWidth="10" defaultColWidth="0" defaultRowHeight="15" zeroHeight="1" x14ac:dyDescent="0.25"/>
  <cols>
    <col min="1" max="1" width="3.85546875" style="60" customWidth="1"/>
    <col min="2" max="2" width="10" style="1" customWidth="1"/>
    <col min="3" max="3" width="30.42578125" style="2" customWidth="1"/>
    <col min="4" max="4" width="30.85546875" style="2" customWidth="1"/>
    <col min="5" max="5" width="22.7109375" style="2" customWidth="1"/>
    <col min="6" max="6" width="23.85546875" style="2" customWidth="1"/>
    <col min="7" max="7" width="24.7109375" style="2" customWidth="1"/>
    <col min="8" max="8" width="36.28515625" style="2" customWidth="1"/>
    <col min="9" max="9" width="26.85546875" style="3" customWidth="1"/>
    <col min="10" max="10" width="28.42578125" style="2" customWidth="1"/>
    <col min="11" max="11" width="33.140625" style="2" customWidth="1"/>
    <col min="12" max="12" width="15.42578125" style="2" customWidth="1"/>
    <col min="13" max="13" width="15.140625" style="2" customWidth="1"/>
    <col min="14" max="14" width="15.85546875" style="2" customWidth="1"/>
    <col min="15" max="15" width="21.42578125" style="2" customWidth="1"/>
    <col min="16" max="16" width="15.7109375" style="2" customWidth="1"/>
    <col min="17" max="17" width="18" style="2" customWidth="1"/>
    <col min="18" max="18" width="11.42578125" style="2" customWidth="1"/>
    <col min="19" max="19" width="20.42578125" style="2" customWidth="1"/>
    <col min="20" max="20" width="22.7109375" style="2" customWidth="1"/>
    <col min="21" max="21" width="14.7109375" style="2" customWidth="1"/>
    <col min="22" max="22" width="15" style="2" customWidth="1"/>
    <col min="23" max="23" width="10.7109375" style="2" customWidth="1"/>
    <col min="24" max="24" width="15.85546875" style="2" customWidth="1"/>
    <col min="25" max="25" width="14.42578125" style="2" customWidth="1"/>
    <col min="26" max="26" width="10.7109375" style="2" customWidth="1"/>
    <col min="27" max="27" width="15.7109375" style="2" customWidth="1"/>
    <col min="28" max="28" width="16.42578125" style="2" customWidth="1"/>
    <col min="29" max="29" width="18.42578125" style="2" customWidth="1"/>
    <col min="30" max="31" width="15.140625" style="2" customWidth="1"/>
    <col min="32" max="32" width="10.7109375" style="2" customWidth="1"/>
    <col min="33" max="33" width="22.85546875" style="4" customWidth="1"/>
    <col min="34" max="34" width="21.42578125" style="4" customWidth="1"/>
    <col min="35" max="35" width="20.140625" style="2" customWidth="1"/>
    <col min="36" max="36" width="18.85546875" style="2" customWidth="1"/>
    <col min="37" max="37" width="53.28515625" style="2" customWidth="1"/>
    <col min="38" max="38" width="51.28515625" style="2" customWidth="1"/>
    <col min="39" max="39" width="55.42578125" style="2" customWidth="1"/>
    <col min="40" max="40" width="51.28515625" style="2" customWidth="1"/>
    <col min="41" max="41" width="55.42578125" style="2" customWidth="1"/>
    <col min="42" max="42" width="51.28515625" style="2" customWidth="1"/>
    <col min="43" max="43" width="59.42578125" style="2" customWidth="1"/>
    <col min="44" max="44" width="60.5703125" style="2" customWidth="1"/>
    <col min="45" max="45" width="3.85546875" style="60" customWidth="1"/>
    <col min="46" max="46" width="11.42578125" style="60" hidden="1" customWidth="1"/>
    <col min="47" max="50" width="14.42578125" style="60" hidden="1" customWidth="1"/>
    <col min="51" max="51" width="0" style="60" hidden="1" customWidth="1"/>
    <col min="52" max="52" width="11.42578125" style="60" hidden="1" customWidth="1"/>
    <col min="53" max="16384" width="14.42578125" style="60" hidden="1"/>
  </cols>
  <sheetData>
    <row r="1" spans="2:44" s="46" customFormat="1" ht="15" customHeight="1" x14ac:dyDescent="0.25">
      <c r="C1" s="5"/>
      <c r="D1" s="5"/>
      <c r="E1" s="5"/>
      <c r="F1" s="5"/>
      <c r="G1" s="5"/>
      <c r="H1" s="5"/>
      <c r="I1" s="6"/>
      <c r="J1" s="5"/>
      <c r="K1" s="5"/>
      <c r="L1" s="5"/>
      <c r="M1" s="5"/>
      <c r="N1" s="5"/>
      <c r="O1" s="5"/>
      <c r="P1" s="5"/>
      <c r="Q1" s="5"/>
      <c r="R1" s="5"/>
      <c r="S1" s="5"/>
      <c r="T1" s="5"/>
      <c r="U1" s="5"/>
      <c r="V1" s="5"/>
      <c r="W1" s="5"/>
      <c r="X1" s="5"/>
      <c r="Y1" s="5"/>
      <c r="Z1" s="5"/>
      <c r="AA1" s="5"/>
      <c r="AB1" s="5"/>
      <c r="AC1" s="5"/>
      <c r="AD1" s="5"/>
      <c r="AE1" s="5"/>
      <c r="AF1" s="5"/>
      <c r="AG1" s="7"/>
      <c r="AH1" s="7"/>
      <c r="AI1" s="5"/>
      <c r="AJ1" s="5"/>
      <c r="AK1" s="5"/>
      <c r="AL1" s="5"/>
      <c r="AM1" s="5"/>
      <c r="AN1" s="5"/>
      <c r="AO1" s="5"/>
      <c r="AP1" s="5"/>
      <c r="AQ1" s="5"/>
      <c r="AR1" s="5"/>
    </row>
    <row r="2" spans="2:44" s="46" customFormat="1" ht="49.5" hidden="1" customHeight="1" x14ac:dyDescent="0.2">
      <c r="B2" s="258"/>
      <c r="C2" s="259"/>
      <c r="D2" s="259"/>
      <c r="E2" s="259"/>
      <c r="F2" s="260"/>
      <c r="G2" s="244" t="s">
        <v>0</v>
      </c>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2" t="s">
        <v>432</v>
      </c>
      <c r="AL2" s="243"/>
      <c r="AM2" s="242" t="s">
        <v>432</v>
      </c>
      <c r="AN2" s="243"/>
      <c r="AO2" s="242" t="s">
        <v>432</v>
      </c>
      <c r="AP2" s="243"/>
      <c r="AQ2" s="242" t="s">
        <v>432</v>
      </c>
      <c r="AR2" s="243"/>
    </row>
    <row r="3" spans="2:44" s="46" customFormat="1" ht="49.5" hidden="1" customHeight="1" thickBot="1" x14ac:dyDescent="0.25">
      <c r="B3" s="261"/>
      <c r="C3" s="262"/>
      <c r="D3" s="262"/>
      <c r="E3" s="262"/>
      <c r="F3" s="263"/>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2" t="s">
        <v>433</v>
      </c>
      <c r="AL3" s="243"/>
      <c r="AM3" s="242" t="s">
        <v>433</v>
      </c>
      <c r="AN3" s="243"/>
      <c r="AO3" s="242" t="s">
        <v>433</v>
      </c>
      <c r="AP3" s="243"/>
      <c r="AQ3" s="242" t="s">
        <v>433</v>
      </c>
      <c r="AR3" s="243"/>
    </row>
    <row r="4" spans="2:44" s="46" customFormat="1" ht="49.5" hidden="1" customHeight="1" thickBot="1" x14ac:dyDescent="0.25">
      <c r="B4" s="264"/>
      <c r="C4" s="265"/>
      <c r="D4" s="265"/>
      <c r="E4" s="265"/>
      <c r="F4" s="266"/>
      <c r="G4" s="255" t="s">
        <v>1</v>
      </c>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42" t="s">
        <v>434</v>
      </c>
      <c r="AL4" s="243"/>
      <c r="AM4" s="242" t="s">
        <v>434</v>
      </c>
      <c r="AN4" s="243"/>
      <c r="AO4" s="242" t="s">
        <v>434</v>
      </c>
      <c r="AP4" s="243"/>
      <c r="AQ4" s="242" t="s">
        <v>434</v>
      </c>
      <c r="AR4" s="243"/>
    </row>
    <row r="5" spans="2:44" s="46" customFormat="1" ht="12" hidden="1" customHeight="1" thickBot="1" x14ac:dyDescent="0.25">
      <c r="B5" s="58"/>
      <c r="C5" s="8"/>
      <c r="D5" s="8"/>
      <c r="E5" s="8"/>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5"/>
      <c r="AL5" s="5"/>
      <c r="AM5" s="5"/>
      <c r="AN5" s="5"/>
      <c r="AO5" s="5"/>
      <c r="AP5" s="5"/>
      <c r="AQ5" s="5"/>
      <c r="AR5" s="5"/>
    </row>
    <row r="6" spans="2:44" s="46" customFormat="1" ht="30.75" hidden="1" customHeight="1" thickBot="1" x14ac:dyDescent="0.25">
      <c r="B6" s="62"/>
      <c r="C6" s="63" t="s">
        <v>2</v>
      </c>
      <c r="D6" s="64">
        <v>2025</v>
      </c>
      <c r="E6" s="256" t="s">
        <v>3</v>
      </c>
      <c r="F6" s="256"/>
      <c r="G6" s="256"/>
      <c r="H6" s="256"/>
      <c r="I6" s="256"/>
      <c r="J6" s="256"/>
      <c r="K6" s="256"/>
      <c r="L6" s="256"/>
      <c r="M6" s="256"/>
      <c r="N6" s="256"/>
      <c r="O6" s="256"/>
      <c r="P6" s="256"/>
      <c r="Q6" s="256"/>
      <c r="R6" s="10"/>
      <c r="S6" s="249" t="s">
        <v>4</v>
      </c>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1"/>
    </row>
    <row r="7" spans="2:44" s="46" customFormat="1" ht="30.75" hidden="1" customHeight="1" thickBot="1" x14ac:dyDescent="0.25">
      <c r="B7" s="65"/>
      <c r="C7" s="66" t="s">
        <v>5</v>
      </c>
      <c r="D7" s="67" t="s">
        <v>6</v>
      </c>
      <c r="E7" s="257" t="s">
        <v>7</v>
      </c>
      <c r="F7" s="257"/>
      <c r="G7" s="257"/>
      <c r="H7" s="257"/>
      <c r="I7" s="257"/>
      <c r="J7" s="257"/>
      <c r="K7" s="257"/>
      <c r="L7" s="257"/>
      <c r="M7" s="257"/>
      <c r="N7" s="257"/>
      <c r="O7" s="257"/>
      <c r="P7" s="257"/>
      <c r="Q7" s="257"/>
      <c r="R7" s="10"/>
      <c r="S7" s="252" t="s">
        <v>8</v>
      </c>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4"/>
    </row>
    <row r="8" spans="2:44" s="46" customFormat="1" ht="15" customHeight="1" thickBot="1" x14ac:dyDescent="0.3">
      <c r="C8" s="11"/>
      <c r="D8" s="12"/>
      <c r="E8" s="12"/>
      <c r="F8" s="12"/>
      <c r="G8" s="12"/>
      <c r="H8" s="12"/>
      <c r="I8" s="13"/>
      <c r="J8" s="12"/>
      <c r="K8" s="12"/>
      <c r="L8" s="12"/>
      <c r="M8" s="12"/>
      <c r="N8" s="12"/>
      <c r="O8" s="12"/>
      <c r="P8" s="12"/>
      <c r="Q8" s="12"/>
      <c r="R8" s="12"/>
      <c r="S8" s="12"/>
      <c r="T8" s="12"/>
      <c r="U8" s="12"/>
      <c r="V8" s="12"/>
      <c r="W8" s="12"/>
      <c r="X8" s="12"/>
      <c r="Y8" s="12"/>
      <c r="Z8" s="12"/>
      <c r="AA8" s="12"/>
      <c r="AB8" s="12"/>
      <c r="AC8" s="12"/>
      <c r="AD8" s="12"/>
      <c r="AE8" s="12"/>
      <c r="AF8" s="12"/>
      <c r="AG8" s="14"/>
      <c r="AH8" s="14"/>
      <c r="AI8" s="12"/>
      <c r="AJ8" s="12"/>
      <c r="AK8" s="5"/>
      <c r="AL8" s="5"/>
      <c r="AM8" s="5"/>
      <c r="AN8" s="5"/>
      <c r="AO8" s="5"/>
      <c r="AP8" s="5"/>
      <c r="AQ8" s="5"/>
      <c r="AR8" s="5"/>
    </row>
    <row r="9" spans="2:44" s="46" customFormat="1" ht="25.5" customHeight="1" thickBot="1" x14ac:dyDescent="0.25">
      <c r="B9" s="240" t="s">
        <v>419</v>
      </c>
      <c r="C9" s="240"/>
      <c r="D9" s="240"/>
      <c r="E9" s="240"/>
      <c r="F9" s="240"/>
      <c r="G9" s="241"/>
      <c r="H9" s="239" t="s">
        <v>9</v>
      </c>
      <c r="I9" s="240"/>
      <c r="J9" s="240"/>
      <c r="K9" s="240"/>
      <c r="L9" s="240"/>
      <c r="M9" s="240"/>
      <c r="N9" s="240"/>
      <c r="O9" s="240"/>
      <c r="P9" s="240"/>
      <c r="Q9" s="241"/>
      <c r="R9" s="267" t="s">
        <v>10</v>
      </c>
      <c r="S9" s="267"/>
      <c r="T9" s="267"/>
      <c r="U9" s="238" t="s">
        <v>11</v>
      </c>
      <c r="V9" s="238"/>
      <c r="W9" s="238"/>
      <c r="X9" s="238" t="s">
        <v>12</v>
      </c>
      <c r="Y9" s="238"/>
      <c r="Z9" s="238"/>
      <c r="AA9" s="238" t="s">
        <v>13</v>
      </c>
      <c r="AB9" s="238"/>
      <c r="AC9" s="238"/>
      <c r="AD9" s="238" t="s">
        <v>14</v>
      </c>
      <c r="AE9" s="238"/>
      <c r="AF9" s="238"/>
      <c r="AG9" s="245" t="s">
        <v>420</v>
      </c>
      <c r="AH9" s="248"/>
      <c r="AI9" s="245" t="s">
        <v>421</v>
      </c>
      <c r="AJ9" s="248"/>
      <c r="AK9" s="245" t="s">
        <v>431</v>
      </c>
      <c r="AL9" s="246"/>
      <c r="AM9" s="246"/>
      <c r="AN9" s="246"/>
      <c r="AO9" s="246"/>
      <c r="AP9" s="246"/>
      <c r="AQ9" s="246"/>
      <c r="AR9" s="246"/>
    </row>
    <row r="10" spans="2:44" s="46" customFormat="1" ht="80.25" customHeight="1" thickBot="1" x14ac:dyDescent="0.25">
      <c r="B10" s="61" t="s">
        <v>15</v>
      </c>
      <c r="C10" s="15" t="s">
        <v>16</v>
      </c>
      <c r="D10" s="16" t="s">
        <v>17</v>
      </c>
      <c r="E10" s="16" t="s">
        <v>18</v>
      </c>
      <c r="F10" s="16" t="s">
        <v>19</v>
      </c>
      <c r="G10" s="16" t="s">
        <v>20</v>
      </c>
      <c r="H10" s="17" t="s">
        <v>21</v>
      </c>
      <c r="I10" s="18" t="s">
        <v>22</v>
      </c>
      <c r="J10" s="18" t="s">
        <v>23</v>
      </c>
      <c r="K10" s="18" t="s">
        <v>24</v>
      </c>
      <c r="L10" s="18" t="s">
        <v>25</v>
      </c>
      <c r="M10" s="18" t="s">
        <v>26</v>
      </c>
      <c r="N10" s="18" t="s">
        <v>27</v>
      </c>
      <c r="O10" s="18" t="s">
        <v>28</v>
      </c>
      <c r="P10" s="15" t="s">
        <v>29</v>
      </c>
      <c r="Q10" s="19" t="s">
        <v>30</v>
      </c>
      <c r="R10" s="18" t="s">
        <v>31</v>
      </c>
      <c r="S10" s="18" t="s">
        <v>32</v>
      </c>
      <c r="T10" s="18" t="s">
        <v>33</v>
      </c>
      <c r="U10" s="20" t="s">
        <v>34</v>
      </c>
      <c r="V10" s="20" t="s">
        <v>35</v>
      </c>
      <c r="W10" s="20" t="s">
        <v>36</v>
      </c>
      <c r="X10" s="20" t="s">
        <v>34</v>
      </c>
      <c r="Y10" s="20" t="s">
        <v>35</v>
      </c>
      <c r="Z10" s="20" t="s">
        <v>37</v>
      </c>
      <c r="AA10" s="20" t="s">
        <v>34</v>
      </c>
      <c r="AB10" s="20" t="s">
        <v>35</v>
      </c>
      <c r="AC10" s="21" t="s">
        <v>38</v>
      </c>
      <c r="AD10" s="20" t="s">
        <v>34</v>
      </c>
      <c r="AE10" s="20" t="s">
        <v>35</v>
      </c>
      <c r="AF10" s="20" t="s">
        <v>39</v>
      </c>
      <c r="AG10" s="22" t="s">
        <v>40</v>
      </c>
      <c r="AH10" s="23" t="s">
        <v>41</v>
      </c>
      <c r="AI10" s="16" t="s">
        <v>42</v>
      </c>
      <c r="AJ10" s="16" t="s">
        <v>43</v>
      </c>
      <c r="AK10" s="68" t="s">
        <v>428</v>
      </c>
      <c r="AL10" s="68" t="s">
        <v>429</v>
      </c>
      <c r="AM10" s="149" t="s">
        <v>430</v>
      </c>
      <c r="AN10" s="149" t="s">
        <v>601</v>
      </c>
      <c r="AO10" s="177" t="s">
        <v>712</v>
      </c>
      <c r="AP10" s="177" t="s">
        <v>711</v>
      </c>
      <c r="AQ10" s="209" t="s">
        <v>819</v>
      </c>
      <c r="AR10" s="209" t="s">
        <v>820</v>
      </c>
    </row>
    <row r="11" spans="2:44" s="59" customFormat="1" ht="183.75" customHeight="1" thickBot="1" x14ac:dyDescent="0.25">
      <c r="B11" s="24">
        <v>1</v>
      </c>
      <c r="C11" s="25" t="s">
        <v>44</v>
      </c>
      <c r="D11" s="25" t="s">
        <v>45</v>
      </c>
      <c r="E11" s="26" t="s">
        <v>46</v>
      </c>
      <c r="F11" s="25" t="s">
        <v>47</v>
      </c>
      <c r="G11" s="25" t="s">
        <v>48</v>
      </c>
      <c r="H11" s="25" t="s">
        <v>49</v>
      </c>
      <c r="I11" s="219" t="s">
        <v>317</v>
      </c>
      <c r="J11" s="25" t="s">
        <v>50</v>
      </c>
      <c r="K11" s="25" t="s">
        <v>318</v>
      </c>
      <c r="L11" s="25" t="s">
        <v>51</v>
      </c>
      <c r="M11" s="25" t="s">
        <v>52</v>
      </c>
      <c r="N11" s="27">
        <v>86</v>
      </c>
      <c r="O11" s="25" t="s">
        <v>316</v>
      </c>
      <c r="P11" s="28" t="s">
        <v>312</v>
      </c>
      <c r="Q11" s="28">
        <v>1</v>
      </c>
      <c r="R11" s="25" t="s">
        <v>53</v>
      </c>
      <c r="S11" s="29">
        <v>45658</v>
      </c>
      <c r="T11" s="29">
        <v>46022</v>
      </c>
      <c r="U11" s="71" t="s">
        <v>172</v>
      </c>
      <c r="V11" s="71" t="s">
        <v>172</v>
      </c>
      <c r="W11" s="72" t="s">
        <v>54</v>
      </c>
      <c r="X11" s="155" t="s">
        <v>172</v>
      </c>
      <c r="Y11" s="155" t="s">
        <v>172</v>
      </c>
      <c r="Z11" s="156" t="s">
        <v>54</v>
      </c>
      <c r="AA11" s="202">
        <v>80.599999999999994</v>
      </c>
      <c r="AB11" s="185">
        <v>86</v>
      </c>
      <c r="AC11" s="181">
        <f>+(AA11/AB11)*$Q$11</f>
        <v>0.93720930232558131</v>
      </c>
      <c r="AD11" s="220" t="s">
        <v>172</v>
      </c>
      <c r="AE11" s="220" t="s">
        <v>172</v>
      </c>
      <c r="AF11" s="214" t="s">
        <v>54</v>
      </c>
      <c r="AG11" s="47">
        <f>+(AC11)</f>
        <v>0.93720930232558131</v>
      </c>
      <c r="AH11" s="247">
        <f>+(AG11+AG12+AG13+AG14)/4</f>
        <v>0.91659399224806193</v>
      </c>
      <c r="AI11" s="30" t="s">
        <v>55</v>
      </c>
      <c r="AJ11" s="30" t="s">
        <v>56</v>
      </c>
      <c r="AK11" s="90" t="s">
        <v>513</v>
      </c>
      <c r="AL11" s="90" t="s">
        <v>515</v>
      </c>
      <c r="AM11" s="150" t="s">
        <v>694</v>
      </c>
      <c r="AN11" s="150" t="s">
        <v>696</v>
      </c>
      <c r="AO11" s="178" t="s">
        <v>742</v>
      </c>
      <c r="AP11" s="178" t="s">
        <v>744</v>
      </c>
      <c r="AQ11" s="210" t="s">
        <v>859</v>
      </c>
      <c r="AR11" s="210" t="s">
        <v>873</v>
      </c>
    </row>
    <row r="12" spans="2:44" s="59" customFormat="1" ht="158.25" customHeight="1" thickBot="1" x14ac:dyDescent="0.25">
      <c r="B12" s="24">
        <v>2</v>
      </c>
      <c r="C12" s="48" t="s">
        <v>44</v>
      </c>
      <c r="D12" s="25" t="s">
        <v>45</v>
      </c>
      <c r="E12" s="26" t="s">
        <v>46</v>
      </c>
      <c r="F12" s="25" t="s">
        <v>47</v>
      </c>
      <c r="G12" s="25" t="s">
        <v>48</v>
      </c>
      <c r="H12" s="25" t="s">
        <v>313</v>
      </c>
      <c r="I12" s="219" t="s">
        <v>319</v>
      </c>
      <c r="J12" s="25" t="s">
        <v>314</v>
      </c>
      <c r="K12" s="25" t="s">
        <v>320</v>
      </c>
      <c r="L12" s="25" t="s">
        <v>57</v>
      </c>
      <c r="M12" s="25" t="s">
        <v>52</v>
      </c>
      <c r="N12" s="49">
        <v>4</v>
      </c>
      <c r="O12" s="25" t="s">
        <v>315</v>
      </c>
      <c r="P12" s="50">
        <v>2</v>
      </c>
      <c r="Q12" s="28">
        <v>0.5</v>
      </c>
      <c r="R12" s="25" t="s">
        <v>101</v>
      </c>
      <c r="S12" s="29">
        <v>45658</v>
      </c>
      <c r="T12" s="29">
        <v>46022</v>
      </c>
      <c r="U12" s="71" t="s">
        <v>172</v>
      </c>
      <c r="V12" s="71" t="s">
        <v>172</v>
      </c>
      <c r="W12" s="72" t="s">
        <v>54</v>
      </c>
      <c r="X12" s="157">
        <v>12</v>
      </c>
      <c r="Y12" s="155">
        <v>12</v>
      </c>
      <c r="Z12" s="156">
        <f>+(X12/Y12)*$Q$12</f>
        <v>0.5</v>
      </c>
      <c r="AA12" s="184">
        <v>12</v>
      </c>
      <c r="AB12" s="184">
        <v>12</v>
      </c>
      <c r="AC12" s="181">
        <f>+(AA12/AB12)*0.25</f>
        <v>0.25</v>
      </c>
      <c r="AD12" s="221">
        <v>11</v>
      </c>
      <c r="AE12" s="220">
        <v>12</v>
      </c>
      <c r="AF12" s="214">
        <f>+(AD12/AE12)*0.25</f>
        <v>0.22916666666666666</v>
      </c>
      <c r="AG12" s="31">
        <f>Z12+AF12+AC12</f>
        <v>0.97916666666666663</v>
      </c>
      <c r="AH12" s="247"/>
      <c r="AI12" s="30" t="s">
        <v>55</v>
      </c>
      <c r="AJ12" s="56" t="s">
        <v>56</v>
      </c>
      <c r="AK12" s="90" t="s">
        <v>514</v>
      </c>
      <c r="AL12" s="90" t="s">
        <v>589</v>
      </c>
      <c r="AM12" s="150" t="s">
        <v>695</v>
      </c>
      <c r="AN12" s="150" t="s">
        <v>698</v>
      </c>
      <c r="AO12" s="178" t="s">
        <v>743</v>
      </c>
      <c r="AP12" s="178" t="s">
        <v>812</v>
      </c>
      <c r="AQ12" s="210" t="s">
        <v>860</v>
      </c>
      <c r="AR12" s="210" t="s">
        <v>884</v>
      </c>
    </row>
    <row r="13" spans="2:44" s="59" customFormat="1" ht="161.25" customHeight="1" thickBot="1" x14ac:dyDescent="0.25">
      <c r="B13" s="24">
        <v>3</v>
      </c>
      <c r="C13" s="25" t="s">
        <v>422</v>
      </c>
      <c r="D13" s="51" t="s">
        <v>45</v>
      </c>
      <c r="E13" s="26" t="s">
        <v>46</v>
      </c>
      <c r="F13" s="25" t="s">
        <v>47</v>
      </c>
      <c r="G13" s="25" t="s">
        <v>48</v>
      </c>
      <c r="H13" s="25" t="s">
        <v>59</v>
      </c>
      <c r="I13" s="219" t="s">
        <v>60</v>
      </c>
      <c r="J13" s="25" t="s">
        <v>61</v>
      </c>
      <c r="K13" s="25" t="s">
        <v>62</v>
      </c>
      <c r="L13" s="25" t="s">
        <v>57</v>
      </c>
      <c r="M13" s="25" t="s">
        <v>63</v>
      </c>
      <c r="N13" s="25">
        <v>4</v>
      </c>
      <c r="O13" s="25" t="s">
        <v>315</v>
      </c>
      <c r="P13" s="27">
        <v>4</v>
      </c>
      <c r="Q13" s="28">
        <v>0.25</v>
      </c>
      <c r="R13" s="25" t="s">
        <v>64</v>
      </c>
      <c r="S13" s="29">
        <v>45658</v>
      </c>
      <c r="T13" s="29">
        <v>46022</v>
      </c>
      <c r="U13" s="73">
        <v>1</v>
      </c>
      <c r="V13" s="71">
        <v>1</v>
      </c>
      <c r="W13" s="72">
        <f>+(U13/V13)*$Q$13</f>
        <v>0.25</v>
      </c>
      <c r="X13" s="157">
        <v>1</v>
      </c>
      <c r="Y13" s="155">
        <v>1</v>
      </c>
      <c r="Z13" s="156">
        <f>+(X13/Y13)*$Q$13</f>
        <v>0.25</v>
      </c>
      <c r="AA13" s="186">
        <v>1</v>
      </c>
      <c r="AB13" s="184">
        <v>1</v>
      </c>
      <c r="AC13" s="181">
        <f>+(AA13/AB13)*$Q$13</f>
        <v>0.25</v>
      </c>
      <c r="AD13" s="221">
        <v>1</v>
      </c>
      <c r="AE13" s="220">
        <v>1</v>
      </c>
      <c r="AF13" s="214">
        <f>+(AD13/AE13)*$Q$13</f>
        <v>0.25</v>
      </c>
      <c r="AG13" s="31">
        <f t="shared" ref="AG13:AG20" si="0">+W13+Z13+AC13+AF13</f>
        <v>1</v>
      </c>
      <c r="AH13" s="247"/>
      <c r="AI13" s="30" t="s">
        <v>55</v>
      </c>
      <c r="AJ13" s="56" t="s">
        <v>56</v>
      </c>
      <c r="AK13" s="90" t="s">
        <v>600</v>
      </c>
      <c r="AL13" s="90" t="s">
        <v>594</v>
      </c>
      <c r="AM13" s="150" t="s">
        <v>745</v>
      </c>
      <c r="AN13" s="150" t="s">
        <v>709</v>
      </c>
      <c r="AO13" s="178" t="s">
        <v>885</v>
      </c>
      <c r="AP13" s="178" t="s">
        <v>818</v>
      </c>
      <c r="AQ13" s="215" t="s">
        <v>886</v>
      </c>
      <c r="AR13" s="210" t="s">
        <v>921</v>
      </c>
    </row>
    <row r="14" spans="2:44" s="59" customFormat="1" ht="207" customHeight="1" thickBot="1" x14ac:dyDescent="0.25">
      <c r="B14" s="24">
        <v>4</v>
      </c>
      <c r="C14" s="25" t="s">
        <v>414</v>
      </c>
      <c r="D14" s="25" t="s">
        <v>45</v>
      </c>
      <c r="E14" s="26" t="s">
        <v>46</v>
      </c>
      <c r="F14" s="25" t="s">
        <v>47</v>
      </c>
      <c r="G14" s="25" t="s">
        <v>48</v>
      </c>
      <c r="H14" s="25" t="s">
        <v>65</v>
      </c>
      <c r="I14" s="219" t="s">
        <v>321</v>
      </c>
      <c r="J14" s="25" t="s">
        <v>66</v>
      </c>
      <c r="K14" s="25" t="s">
        <v>67</v>
      </c>
      <c r="L14" s="25" t="s">
        <v>57</v>
      </c>
      <c r="M14" s="25" t="s">
        <v>63</v>
      </c>
      <c r="N14" s="25">
        <v>2</v>
      </c>
      <c r="O14" s="25" t="s">
        <v>315</v>
      </c>
      <c r="P14" s="27">
        <v>4</v>
      </c>
      <c r="Q14" s="28">
        <v>0.25</v>
      </c>
      <c r="R14" s="25" t="s">
        <v>64</v>
      </c>
      <c r="S14" s="29">
        <v>45658</v>
      </c>
      <c r="T14" s="29">
        <v>46022</v>
      </c>
      <c r="U14" s="73">
        <v>1</v>
      </c>
      <c r="V14" s="71">
        <v>1</v>
      </c>
      <c r="W14" s="72">
        <f>+(U14/V14)*$Q$14</f>
        <v>0.25</v>
      </c>
      <c r="X14" s="157">
        <v>1</v>
      </c>
      <c r="Y14" s="155">
        <v>1</v>
      </c>
      <c r="Z14" s="156">
        <f>+(X14/Y14)*$Q$14</f>
        <v>0.25</v>
      </c>
      <c r="AA14" s="186">
        <v>1</v>
      </c>
      <c r="AB14" s="184">
        <v>1</v>
      </c>
      <c r="AC14" s="181">
        <f>+(AA14/AB14)*$Q$14</f>
        <v>0.25</v>
      </c>
      <c r="AD14" s="221">
        <v>0</v>
      </c>
      <c r="AE14" s="220">
        <v>1</v>
      </c>
      <c r="AF14" s="214">
        <f>+(AD14/AE14)*$Q$14</f>
        <v>0</v>
      </c>
      <c r="AG14" s="31">
        <f t="shared" si="0"/>
        <v>0.75</v>
      </c>
      <c r="AH14" s="247"/>
      <c r="AI14" s="30" t="s">
        <v>55</v>
      </c>
      <c r="AJ14" s="56" t="s">
        <v>56</v>
      </c>
      <c r="AK14" s="90" t="s">
        <v>602</v>
      </c>
      <c r="AL14" s="90" t="s">
        <v>590</v>
      </c>
      <c r="AM14" s="150" t="s">
        <v>603</v>
      </c>
      <c r="AN14" s="150" t="s">
        <v>697</v>
      </c>
      <c r="AO14" s="178" t="s">
        <v>746</v>
      </c>
      <c r="AP14" s="178" t="s">
        <v>747</v>
      </c>
      <c r="AQ14" s="210" t="s">
        <v>868</v>
      </c>
      <c r="AR14" s="210" t="s">
        <v>887</v>
      </c>
    </row>
    <row r="15" spans="2:44" s="44" customFormat="1" ht="197.25" customHeight="1" thickBot="1" x14ac:dyDescent="0.25">
      <c r="B15" s="24">
        <v>5</v>
      </c>
      <c r="C15" s="37" t="s">
        <v>68</v>
      </c>
      <c r="D15" s="37" t="s">
        <v>69</v>
      </c>
      <c r="E15" s="38" t="s">
        <v>70</v>
      </c>
      <c r="F15" s="37" t="s">
        <v>71</v>
      </c>
      <c r="G15" s="37" t="s">
        <v>72</v>
      </c>
      <c r="H15" s="37" t="s">
        <v>73</v>
      </c>
      <c r="I15" s="218" t="s">
        <v>322</v>
      </c>
      <c r="J15" s="37" t="s">
        <v>74</v>
      </c>
      <c r="K15" s="37" t="s">
        <v>75</v>
      </c>
      <c r="L15" s="37" t="s">
        <v>51</v>
      </c>
      <c r="M15" s="37" t="s">
        <v>52</v>
      </c>
      <c r="N15" s="52">
        <v>0.94</v>
      </c>
      <c r="O15" s="37" t="s">
        <v>76</v>
      </c>
      <c r="P15" s="52">
        <v>0.96</v>
      </c>
      <c r="Q15" s="40">
        <v>0.25</v>
      </c>
      <c r="R15" s="37" t="s">
        <v>64</v>
      </c>
      <c r="S15" s="41">
        <v>45658</v>
      </c>
      <c r="T15" s="41">
        <v>46022</v>
      </c>
      <c r="U15" s="74">
        <f>2165/2217</f>
        <v>0.97654488046910237</v>
      </c>
      <c r="V15" s="74">
        <f>+$P$15</f>
        <v>0.96</v>
      </c>
      <c r="W15" s="75">
        <f>IF(((U15*0.25)/V15)&gt;0.25,0.25,(U15*0.25)/V15)</f>
        <v>0.25</v>
      </c>
      <c r="X15" s="158">
        <f>3431/3433</f>
        <v>0.9994174191669094</v>
      </c>
      <c r="Y15" s="158">
        <f>+$P$15</f>
        <v>0.96</v>
      </c>
      <c r="Z15" s="159">
        <f>IF(((X15*0.25)/Y15)&gt;0.25,0.25,(X15*0.25)/Y15)</f>
        <v>0.25</v>
      </c>
      <c r="AA15" s="187">
        <f>3826/3827</f>
        <v>0.99973869871962373</v>
      </c>
      <c r="AB15" s="187">
        <f>+$P$15</f>
        <v>0.96</v>
      </c>
      <c r="AC15" s="188">
        <f>IF(((AA15*0.25)/AB15)&gt;0.25,0.25,(AA15*0.25)/AB15)</f>
        <v>0.25</v>
      </c>
      <c r="AD15" s="222">
        <f>2170/2179</f>
        <v>0.99586966498393759</v>
      </c>
      <c r="AE15" s="223">
        <f>+$P$15</f>
        <v>0.96</v>
      </c>
      <c r="AF15" s="224">
        <f>IF(((AD15*0.25)/AE15)&gt;0.25,0.25,(AD15*0.25)/AE15)</f>
        <v>0.25</v>
      </c>
      <c r="AG15" s="43">
        <f t="shared" si="0"/>
        <v>1</v>
      </c>
      <c r="AH15" s="269">
        <f>+(AG15+AG16+AG17+AG18)/4</f>
        <v>0.96603522065116165</v>
      </c>
      <c r="AI15" s="42" t="s">
        <v>77</v>
      </c>
      <c r="AJ15" s="57" t="s">
        <v>78</v>
      </c>
      <c r="AK15" s="90" t="s">
        <v>516</v>
      </c>
      <c r="AL15" s="70" t="s">
        <v>519</v>
      </c>
      <c r="AM15" s="150" t="s">
        <v>606</v>
      </c>
      <c r="AN15" s="151" t="s">
        <v>609</v>
      </c>
      <c r="AO15" s="178" t="s">
        <v>800</v>
      </c>
      <c r="AP15" s="179" t="s">
        <v>807</v>
      </c>
      <c r="AQ15" s="210" t="s">
        <v>855</v>
      </c>
      <c r="AR15" s="210" t="s">
        <v>888</v>
      </c>
    </row>
    <row r="16" spans="2:44" s="44" customFormat="1" ht="285.75" customHeight="1" thickBot="1" x14ac:dyDescent="0.25">
      <c r="B16" s="24">
        <v>6</v>
      </c>
      <c r="C16" s="37" t="s">
        <v>68</v>
      </c>
      <c r="D16" s="37" t="s">
        <v>69</v>
      </c>
      <c r="E16" s="38" t="s">
        <v>70</v>
      </c>
      <c r="F16" s="37" t="s">
        <v>79</v>
      </c>
      <c r="G16" s="37" t="s">
        <v>72</v>
      </c>
      <c r="H16" s="218" t="s">
        <v>80</v>
      </c>
      <c r="I16" s="218" t="s">
        <v>81</v>
      </c>
      <c r="J16" s="37" t="s">
        <v>82</v>
      </c>
      <c r="K16" s="37" t="s">
        <v>323</v>
      </c>
      <c r="L16" s="37" t="s">
        <v>51</v>
      </c>
      <c r="M16" s="37" t="s">
        <v>83</v>
      </c>
      <c r="N16" s="52">
        <v>0.93</v>
      </c>
      <c r="O16" s="37" t="s">
        <v>76</v>
      </c>
      <c r="P16" s="52">
        <v>0.95</v>
      </c>
      <c r="Q16" s="40">
        <v>0.25</v>
      </c>
      <c r="R16" s="37" t="s">
        <v>64</v>
      </c>
      <c r="S16" s="41">
        <v>45658</v>
      </c>
      <c r="T16" s="41">
        <v>46022</v>
      </c>
      <c r="U16" s="74">
        <f>233/246</f>
        <v>0.94715447154471544</v>
      </c>
      <c r="V16" s="74">
        <f>+$P$16</f>
        <v>0.95</v>
      </c>
      <c r="W16" s="75">
        <f>IF(((U16*$Q$16)/V16)&gt;0.25,0.25,(U16*$Q$16)/V16)</f>
        <v>0.24925117672229355</v>
      </c>
      <c r="X16" s="158">
        <f>245/249</f>
        <v>0.98393574297188757</v>
      </c>
      <c r="Y16" s="158">
        <f>+$P$16</f>
        <v>0.95</v>
      </c>
      <c r="Z16" s="159">
        <f>IF(((X16*$Q$16)/Y16)&gt;0.25,0.25,(X16*$Q$16)/Y16)</f>
        <v>0.25</v>
      </c>
      <c r="AA16" s="187">
        <f>3826/3827</f>
        <v>0.99973869871962373</v>
      </c>
      <c r="AB16" s="187">
        <f>+$P$16</f>
        <v>0.95</v>
      </c>
      <c r="AC16" s="188">
        <f>IF(((AA16*$Q$16)/AB16)&gt;0.25,0.25,(AA16*$Q$16)/AB16)</f>
        <v>0.25</v>
      </c>
      <c r="AD16" s="222">
        <f>419/432</f>
        <v>0.96990740740740744</v>
      </c>
      <c r="AE16" s="223">
        <f>+$P$16</f>
        <v>0.95</v>
      </c>
      <c r="AF16" s="224">
        <f>IF(((AD16*$Q$16)/AE16)&gt;0.25,0.25,(AD16*$Q$16)/AE16)</f>
        <v>0.25</v>
      </c>
      <c r="AG16" s="43">
        <f t="shared" si="0"/>
        <v>0.99925117672229358</v>
      </c>
      <c r="AH16" s="269"/>
      <c r="AI16" s="42" t="s">
        <v>77</v>
      </c>
      <c r="AJ16" s="57" t="s">
        <v>78</v>
      </c>
      <c r="AK16" s="90" t="s">
        <v>517</v>
      </c>
      <c r="AL16" s="70" t="s">
        <v>520</v>
      </c>
      <c r="AM16" s="152" t="s">
        <v>604</v>
      </c>
      <c r="AN16" s="151" t="s">
        <v>610</v>
      </c>
      <c r="AO16" s="180" t="s">
        <v>801</v>
      </c>
      <c r="AP16" s="201" t="s">
        <v>810</v>
      </c>
      <c r="AQ16" s="212" t="s">
        <v>856</v>
      </c>
      <c r="AR16" s="210" t="s">
        <v>889</v>
      </c>
    </row>
    <row r="17" spans="2:44" s="44" customFormat="1" ht="300.75" customHeight="1" thickBot="1" x14ac:dyDescent="0.25">
      <c r="B17" s="24">
        <v>7</v>
      </c>
      <c r="C17" s="37" t="s">
        <v>68</v>
      </c>
      <c r="D17" s="37" t="s">
        <v>69</v>
      </c>
      <c r="E17" s="38" t="s">
        <v>70</v>
      </c>
      <c r="F17" s="37" t="s">
        <v>79</v>
      </c>
      <c r="G17" s="37" t="s">
        <v>72</v>
      </c>
      <c r="H17" s="218" t="s">
        <v>325</v>
      </c>
      <c r="I17" s="218" t="s">
        <v>326</v>
      </c>
      <c r="J17" s="37" t="s">
        <v>327</v>
      </c>
      <c r="K17" s="37" t="s">
        <v>324</v>
      </c>
      <c r="L17" s="37" t="s">
        <v>51</v>
      </c>
      <c r="M17" s="37" t="s">
        <v>83</v>
      </c>
      <c r="N17" s="52">
        <v>0.75</v>
      </c>
      <c r="O17" s="37" t="s">
        <v>84</v>
      </c>
      <c r="P17" s="27" t="s">
        <v>364</v>
      </c>
      <c r="Q17" s="40">
        <v>0.25</v>
      </c>
      <c r="R17" s="37" t="s">
        <v>64</v>
      </c>
      <c r="S17" s="41">
        <v>45658</v>
      </c>
      <c r="T17" s="41">
        <v>46022</v>
      </c>
      <c r="U17" s="73">
        <v>11</v>
      </c>
      <c r="V17" s="76">
        <v>17</v>
      </c>
      <c r="W17" s="75">
        <f>IFERROR((U17/V17)*$Q$17,0)</f>
        <v>0.16176470588235295</v>
      </c>
      <c r="X17" s="157">
        <v>16</v>
      </c>
      <c r="Y17" s="160">
        <v>16</v>
      </c>
      <c r="Z17" s="159">
        <f>IFERROR((X17/Y17)*$Q$17,0)</f>
        <v>0.25</v>
      </c>
      <c r="AA17" s="186">
        <v>13</v>
      </c>
      <c r="AB17" s="189">
        <v>16</v>
      </c>
      <c r="AC17" s="188">
        <f>IFERROR((AA17/AB17)*$Q$17,0)</f>
        <v>0.203125</v>
      </c>
      <c r="AD17" s="221">
        <v>17</v>
      </c>
      <c r="AE17" s="225">
        <v>17</v>
      </c>
      <c r="AF17" s="224">
        <f>IFERROR((AD17/AE17)*$Q$17,0)</f>
        <v>0.25</v>
      </c>
      <c r="AG17" s="43">
        <f t="shared" si="0"/>
        <v>0.86488970588235292</v>
      </c>
      <c r="AH17" s="269"/>
      <c r="AI17" s="42" t="s">
        <v>77</v>
      </c>
      <c r="AJ17" s="57" t="s">
        <v>78</v>
      </c>
      <c r="AK17" s="90" t="s">
        <v>518</v>
      </c>
      <c r="AL17" s="70" t="s">
        <v>526</v>
      </c>
      <c r="AM17" s="150" t="s">
        <v>607</v>
      </c>
      <c r="AN17" s="151" t="s">
        <v>611</v>
      </c>
      <c r="AO17" s="178" t="s">
        <v>802</v>
      </c>
      <c r="AP17" s="179" t="s">
        <v>808</v>
      </c>
      <c r="AQ17" s="210" t="s">
        <v>857</v>
      </c>
      <c r="AR17" s="210" t="s">
        <v>890</v>
      </c>
    </row>
    <row r="18" spans="2:44" s="44" customFormat="1" ht="245.25" customHeight="1" thickBot="1" x14ac:dyDescent="0.25">
      <c r="B18" s="24">
        <v>8</v>
      </c>
      <c r="C18" s="37" t="s">
        <v>68</v>
      </c>
      <c r="D18" s="37" t="s">
        <v>69</v>
      </c>
      <c r="E18" s="38" t="s">
        <v>70</v>
      </c>
      <c r="F18" s="37" t="s">
        <v>79</v>
      </c>
      <c r="G18" s="37" t="s">
        <v>72</v>
      </c>
      <c r="H18" s="218" t="s">
        <v>366</v>
      </c>
      <c r="I18" s="218" t="s">
        <v>86</v>
      </c>
      <c r="J18" s="37" t="s">
        <v>87</v>
      </c>
      <c r="K18" s="37" t="s">
        <v>88</v>
      </c>
      <c r="L18" s="37" t="s">
        <v>57</v>
      </c>
      <c r="M18" s="37" t="s">
        <v>83</v>
      </c>
      <c r="N18" s="37">
        <v>896</v>
      </c>
      <c r="O18" s="37" t="s">
        <v>84</v>
      </c>
      <c r="P18" s="39">
        <v>600</v>
      </c>
      <c r="Q18" s="40">
        <v>0.25</v>
      </c>
      <c r="R18" s="37" t="s">
        <v>64</v>
      </c>
      <c r="S18" s="41">
        <v>45658</v>
      </c>
      <c r="T18" s="41">
        <v>46022</v>
      </c>
      <c r="U18" s="73">
        <v>182</v>
      </c>
      <c r="V18" s="76">
        <v>150</v>
      </c>
      <c r="W18" s="75">
        <f>IF(((U18*$Q$18)/V18)&gt;0.25,0.25,(U18*$Q$18)/V18)</f>
        <v>0.25</v>
      </c>
      <c r="X18" s="157">
        <v>233</v>
      </c>
      <c r="Y18" s="160">
        <v>150</v>
      </c>
      <c r="Z18" s="159">
        <f>IF(((X18*$Q$18)/Y18)&gt;0.25,0.25,(X18*$Q$18)/Y18)</f>
        <v>0.25</v>
      </c>
      <c r="AA18" s="186">
        <v>230</v>
      </c>
      <c r="AB18" s="189">
        <v>150</v>
      </c>
      <c r="AC18" s="188">
        <f>IF(((AA18*$Q$18)/AB18)&gt;0.25,0.25,(AA18*$Q$18)/AB18)</f>
        <v>0.25</v>
      </c>
      <c r="AD18" s="226">
        <v>255</v>
      </c>
      <c r="AE18" s="225">
        <v>150</v>
      </c>
      <c r="AF18" s="224">
        <f>IF(((AD18*$Q$18)/AE18)&gt;0.25,0.25,(AD18*$Q$18)/AE18)</f>
        <v>0.25</v>
      </c>
      <c r="AG18" s="43">
        <f t="shared" si="0"/>
        <v>1</v>
      </c>
      <c r="AH18" s="269"/>
      <c r="AI18" s="42" t="s">
        <v>77</v>
      </c>
      <c r="AJ18" s="57" t="s">
        <v>78</v>
      </c>
      <c r="AK18" s="90" t="s">
        <v>521</v>
      </c>
      <c r="AL18" s="70" t="s">
        <v>522</v>
      </c>
      <c r="AM18" s="152" t="s">
        <v>605</v>
      </c>
      <c r="AN18" s="151" t="s">
        <v>608</v>
      </c>
      <c r="AO18" s="180" t="s">
        <v>803</v>
      </c>
      <c r="AP18" s="179" t="s">
        <v>809</v>
      </c>
      <c r="AQ18" s="212" t="s">
        <v>858</v>
      </c>
      <c r="AR18" s="210" t="s">
        <v>874</v>
      </c>
    </row>
    <row r="19" spans="2:44" s="44" customFormat="1" ht="197.25" customHeight="1" thickBot="1" x14ac:dyDescent="0.25">
      <c r="B19" s="24">
        <v>9</v>
      </c>
      <c r="C19" s="37" t="s">
        <v>89</v>
      </c>
      <c r="D19" s="37" t="s">
        <v>90</v>
      </c>
      <c r="E19" s="38" t="s">
        <v>91</v>
      </c>
      <c r="F19" s="37" t="s">
        <v>92</v>
      </c>
      <c r="G19" s="37" t="s">
        <v>93</v>
      </c>
      <c r="H19" s="218" t="s">
        <v>94</v>
      </c>
      <c r="I19" s="218" t="s">
        <v>328</v>
      </c>
      <c r="J19" s="37" t="s">
        <v>95</v>
      </c>
      <c r="K19" s="37" t="s">
        <v>329</v>
      </c>
      <c r="L19" s="37" t="s">
        <v>57</v>
      </c>
      <c r="M19" s="37" t="s">
        <v>52</v>
      </c>
      <c r="N19" s="37">
        <v>3923</v>
      </c>
      <c r="O19" s="37" t="s">
        <v>96</v>
      </c>
      <c r="P19" s="52">
        <v>0.2</v>
      </c>
      <c r="Q19" s="40">
        <v>0.25</v>
      </c>
      <c r="R19" s="37" t="s">
        <v>64</v>
      </c>
      <c r="S19" s="41">
        <v>45658</v>
      </c>
      <c r="T19" s="41">
        <v>46022</v>
      </c>
      <c r="U19" s="77">
        <v>1808</v>
      </c>
      <c r="V19" s="76">
        <v>1553</v>
      </c>
      <c r="W19" s="75">
        <f>IF(U19&gt;=V19, $Q$19, $Q$19 * (U19 / V19))</f>
        <v>0.25</v>
      </c>
      <c r="X19" s="161">
        <v>113</v>
      </c>
      <c r="Y19" s="160">
        <v>50</v>
      </c>
      <c r="Z19" s="159">
        <f>IF(X19&gt;=Y19, Q19, Q19 * (X19 / Y19))</f>
        <v>0.25</v>
      </c>
      <c r="AA19" s="190">
        <v>108</v>
      </c>
      <c r="AB19" s="189">
        <v>50</v>
      </c>
      <c r="AC19" s="188">
        <f>IF(AA19&gt;=AB19, Q19, Q19 * (AA19 / AB19))</f>
        <v>0.25</v>
      </c>
      <c r="AD19" s="226">
        <v>3183</v>
      </c>
      <c r="AE19" s="225">
        <v>2347</v>
      </c>
      <c r="AF19" s="224">
        <f>IF(AD19&gt;=AE19, $Q$19, $Q$19 * (AD19 / AE19))</f>
        <v>0.25</v>
      </c>
      <c r="AG19" s="43">
        <f t="shared" si="0"/>
        <v>1</v>
      </c>
      <c r="AH19" s="272">
        <f>AVERAGE(AG19:AG21)</f>
        <v>0.99063307493540054</v>
      </c>
      <c r="AI19" s="42" t="s">
        <v>77</v>
      </c>
      <c r="AJ19" s="57" t="s">
        <v>78</v>
      </c>
      <c r="AK19" s="90" t="s">
        <v>435</v>
      </c>
      <c r="AL19" s="70" t="s">
        <v>523</v>
      </c>
      <c r="AM19" s="152" t="s">
        <v>617</v>
      </c>
      <c r="AN19" s="151" t="s">
        <v>618</v>
      </c>
      <c r="AO19" s="180" t="s">
        <v>718</v>
      </c>
      <c r="AP19" s="179" t="s">
        <v>811</v>
      </c>
      <c r="AQ19" s="212" t="s">
        <v>821</v>
      </c>
      <c r="AR19" s="210" t="s">
        <v>891</v>
      </c>
    </row>
    <row r="20" spans="2:44" s="44" customFormat="1" ht="168.75" customHeight="1" thickBot="1" x14ac:dyDescent="0.25">
      <c r="B20" s="24">
        <v>10</v>
      </c>
      <c r="C20" s="37" t="s">
        <v>89</v>
      </c>
      <c r="D20" s="37" t="s">
        <v>90</v>
      </c>
      <c r="E20" s="38" t="s">
        <v>91</v>
      </c>
      <c r="F20" s="37" t="s">
        <v>92</v>
      </c>
      <c r="G20" s="37" t="s">
        <v>97</v>
      </c>
      <c r="H20" s="218" t="s">
        <v>98</v>
      </c>
      <c r="I20" s="218" t="s">
        <v>330</v>
      </c>
      <c r="J20" s="37" t="s">
        <v>331</v>
      </c>
      <c r="K20" s="37" t="s">
        <v>332</v>
      </c>
      <c r="L20" s="37" t="s">
        <v>51</v>
      </c>
      <c r="M20" s="37" t="s">
        <v>52</v>
      </c>
      <c r="N20" s="37">
        <v>94</v>
      </c>
      <c r="O20" s="37" t="s">
        <v>96</v>
      </c>
      <c r="P20" s="39">
        <v>100</v>
      </c>
      <c r="Q20" s="40">
        <v>0.25</v>
      </c>
      <c r="R20" s="37" t="s">
        <v>64</v>
      </c>
      <c r="S20" s="41">
        <v>45658</v>
      </c>
      <c r="T20" s="41">
        <v>46022</v>
      </c>
      <c r="U20" s="77">
        <v>23</v>
      </c>
      <c r="V20" s="76">
        <v>24</v>
      </c>
      <c r="W20" s="75">
        <f>IFERROR((U20/V20)*$Q$20,0)</f>
        <v>0.23958333333333334</v>
      </c>
      <c r="X20" s="161">
        <v>63</v>
      </c>
      <c r="Y20" s="160">
        <v>30</v>
      </c>
      <c r="Z20" s="159">
        <f>IF(X20&gt;=Y20, Q20, Q20 * (X20 / Y20))</f>
        <v>0.25</v>
      </c>
      <c r="AA20" s="190">
        <v>84</v>
      </c>
      <c r="AB20" s="189">
        <v>30</v>
      </c>
      <c r="AC20" s="188">
        <f>IF(AA20&gt;=AB20, Q20, Q20 * (AA20 / AB20))</f>
        <v>0.25</v>
      </c>
      <c r="AD20" s="226">
        <v>83</v>
      </c>
      <c r="AE20" s="225">
        <v>16</v>
      </c>
      <c r="AF20" s="224">
        <f>IF(AD20&gt;=AE20, $Q$19, $Q$19 * (AD20 / AE20))</f>
        <v>0.25</v>
      </c>
      <c r="AG20" s="43">
        <f t="shared" si="0"/>
        <v>0.98958333333333337</v>
      </c>
      <c r="AH20" s="272"/>
      <c r="AI20" s="42" t="s">
        <v>77</v>
      </c>
      <c r="AJ20" s="57" t="s">
        <v>78</v>
      </c>
      <c r="AK20" s="90" t="s">
        <v>436</v>
      </c>
      <c r="AL20" s="70" t="s">
        <v>524</v>
      </c>
      <c r="AM20" s="152" t="s">
        <v>612</v>
      </c>
      <c r="AN20" s="151" t="s">
        <v>619</v>
      </c>
      <c r="AO20" s="180" t="s">
        <v>719</v>
      </c>
      <c r="AP20" s="179" t="s">
        <v>748</v>
      </c>
      <c r="AQ20" s="212" t="s">
        <v>822</v>
      </c>
      <c r="AR20" s="210" t="s">
        <v>892</v>
      </c>
    </row>
    <row r="21" spans="2:44" s="44" customFormat="1" ht="171" customHeight="1" thickBot="1" x14ac:dyDescent="0.25">
      <c r="B21" s="24">
        <v>11</v>
      </c>
      <c r="C21" s="37" t="s">
        <v>89</v>
      </c>
      <c r="D21" s="37" t="s">
        <v>90</v>
      </c>
      <c r="E21" s="38" t="s">
        <v>91</v>
      </c>
      <c r="F21" s="37" t="s">
        <v>92</v>
      </c>
      <c r="G21" s="37" t="s">
        <v>93</v>
      </c>
      <c r="H21" s="218" t="s">
        <v>99</v>
      </c>
      <c r="I21" s="218" t="s">
        <v>100</v>
      </c>
      <c r="J21" s="37" t="s">
        <v>333</v>
      </c>
      <c r="K21" s="37" t="s">
        <v>334</v>
      </c>
      <c r="L21" s="37" t="s">
        <v>51</v>
      </c>
      <c r="M21" s="37" t="s">
        <v>52</v>
      </c>
      <c r="N21" s="37">
        <v>49</v>
      </c>
      <c r="O21" s="37" t="s">
        <v>96</v>
      </c>
      <c r="P21" s="39">
        <v>48</v>
      </c>
      <c r="Q21" s="40">
        <v>0.5</v>
      </c>
      <c r="R21" s="37" t="s">
        <v>101</v>
      </c>
      <c r="S21" s="41">
        <v>45658</v>
      </c>
      <c r="T21" s="41">
        <v>46022</v>
      </c>
      <c r="U21" s="77" t="s">
        <v>265</v>
      </c>
      <c r="V21" s="77" t="s">
        <v>265</v>
      </c>
      <c r="W21" s="75" t="s">
        <v>54</v>
      </c>
      <c r="X21" s="161">
        <v>37</v>
      </c>
      <c r="Y21" s="160">
        <v>43</v>
      </c>
      <c r="Z21" s="159">
        <f>IFERROR((X21/Y21)*$Q$21,0)</f>
        <v>0.43023255813953487</v>
      </c>
      <c r="AA21" s="190" t="s">
        <v>265</v>
      </c>
      <c r="AB21" s="190" t="s">
        <v>265</v>
      </c>
      <c r="AC21" s="188" t="s">
        <v>54</v>
      </c>
      <c r="AD21" s="226">
        <v>53</v>
      </c>
      <c r="AE21" s="225">
        <v>48</v>
      </c>
      <c r="AF21" s="224">
        <f>IFERROR((AD21/AE21)*$Q$21,0)</f>
        <v>0.55208333333333337</v>
      </c>
      <c r="AG21" s="43">
        <f>Z21+AF21</f>
        <v>0.98231589147286824</v>
      </c>
      <c r="AH21" s="272"/>
      <c r="AI21" s="42" t="s">
        <v>77</v>
      </c>
      <c r="AJ21" s="57" t="s">
        <v>78</v>
      </c>
      <c r="AK21" s="90" t="s">
        <v>437</v>
      </c>
      <c r="AL21" s="70" t="s">
        <v>525</v>
      </c>
      <c r="AM21" s="152" t="s">
        <v>613</v>
      </c>
      <c r="AN21" s="151" t="s">
        <v>620</v>
      </c>
      <c r="AO21" s="178" t="s">
        <v>720</v>
      </c>
      <c r="AP21" s="179" t="s">
        <v>749</v>
      </c>
      <c r="AQ21" s="210" t="s">
        <v>823</v>
      </c>
      <c r="AR21" s="210" t="s">
        <v>893</v>
      </c>
    </row>
    <row r="22" spans="2:44" s="44" customFormat="1" ht="183.75" customHeight="1" thickBot="1" x14ac:dyDescent="0.25">
      <c r="B22" s="24">
        <v>12</v>
      </c>
      <c r="C22" s="37" t="s">
        <v>89</v>
      </c>
      <c r="D22" s="37" t="s">
        <v>90</v>
      </c>
      <c r="E22" s="38" t="s">
        <v>102</v>
      </c>
      <c r="F22" s="37" t="s">
        <v>423</v>
      </c>
      <c r="G22" s="37" t="s">
        <v>103</v>
      </c>
      <c r="H22" s="218" t="s">
        <v>104</v>
      </c>
      <c r="I22" s="37" t="s">
        <v>105</v>
      </c>
      <c r="J22" s="37" t="s">
        <v>106</v>
      </c>
      <c r="K22" s="37" t="s">
        <v>107</v>
      </c>
      <c r="L22" s="37" t="s">
        <v>57</v>
      </c>
      <c r="M22" s="37" t="s">
        <v>52</v>
      </c>
      <c r="N22" s="37" t="s">
        <v>54</v>
      </c>
      <c r="O22" s="37" t="s">
        <v>108</v>
      </c>
      <c r="P22" s="39">
        <v>1500</v>
      </c>
      <c r="Q22" s="40" t="s">
        <v>85</v>
      </c>
      <c r="R22" s="37" t="s">
        <v>64</v>
      </c>
      <c r="S22" s="41">
        <v>45658</v>
      </c>
      <c r="T22" s="41">
        <v>46022</v>
      </c>
      <c r="U22" s="77">
        <v>152</v>
      </c>
      <c r="V22" s="76">
        <v>100</v>
      </c>
      <c r="W22" s="75">
        <f>(U22/$P$22)</f>
        <v>0.10133333333333333</v>
      </c>
      <c r="X22" s="161">
        <v>293</v>
      </c>
      <c r="Y22" s="160">
        <v>550</v>
      </c>
      <c r="Z22" s="159">
        <f>(X22/$P$22)</f>
        <v>0.19533333333333333</v>
      </c>
      <c r="AA22" s="190">
        <v>373</v>
      </c>
      <c r="AB22" s="189">
        <v>550</v>
      </c>
      <c r="AC22" s="188">
        <f>(AA22/$P$22)</f>
        <v>0.24866666666666667</v>
      </c>
      <c r="AD22" s="226">
        <v>340</v>
      </c>
      <c r="AE22" s="225">
        <v>300</v>
      </c>
      <c r="AF22" s="224">
        <f>(AD22/$P$22)</f>
        <v>0.22666666666666666</v>
      </c>
      <c r="AG22" s="43">
        <f t="shared" ref="AG22:AG36" si="1">+W22+Z22+AC22+AF22</f>
        <v>0.77200000000000002</v>
      </c>
      <c r="AH22" s="269">
        <f>AVERAGE(AG22:AG24)</f>
        <v>0.77477111984011293</v>
      </c>
      <c r="AI22" s="42" t="s">
        <v>77</v>
      </c>
      <c r="AJ22" s="57" t="s">
        <v>78</v>
      </c>
      <c r="AK22" s="90" t="s">
        <v>438</v>
      </c>
      <c r="AL22" s="70" t="s">
        <v>441</v>
      </c>
      <c r="AM22" s="152" t="s">
        <v>614</v>
      </c>
      <c r="AN22" s="151" t="s">
        <v>621</v>
      </c>
      <c r="AO22" s="178" t="s">
        <v>721</v>
      </c>
      <c r="AP22" s="179" t="s">
        <v>750</v>
      </c>
      <c r="AQ22" s="210" t="s">
        <v>824</v>
      </c>
      <c r="AR22" s="210" t="s">
        <v>894</v>
      </c>
    </row>
    <row r="23" spans="2:44" s="44" customFormat="1" ht="204" customHeight="1" thickBot="1" x14ac:dyDescent="0.25">
      <c r="B23" s="24">
        <v>13</v>
      </c>
      <c r="C23" s="37" t="s">
        <v>89</v>
      </c>
      <c r="D23" s="37" t="s">
        <v>90</v>
      </c>
      <c r="E23" s="38" t="s">
        <v>102</v>
      </c>
      <c r="F23" s="37" t="s">
        <v>424</v>
      </c>
      <c r="G23" s="37" t="s">
        <v>103</v>
      </c>
      <c r="H23" s="218" t="s">
        <v>109</v>
      </c>
      <c r="I23" s="37" t="s">
        <v>110</v>
      </c>
      <c r="J23" s="37" t="s">
        <v>111</v>
      </c>
      <c r="K23" s="37" t="s">
        <v>335</v>
      </c>
      <c r="L23" s="37" t="s">
        <v>51</v>
      </c>
      <c r="M23" s="37" t="s">
        <v>52</v>
      </c>
      <c r="N23" s="37" t="s">
        <v>54</v>
      </c>
      <c r="O23" s="37" t="s">
        <v>54</v>
      </c>
      <c r="P23" s="40">
        <v>1</v>
      </c>
      <c r="Q23" s="40">
        <v>0.25</v>
      </c>
      <c r="R23" s="37" t="s">
        <v>64</v>
      </c>
      <c r="S23" s="41">
        <v>45658</v>
      </c>
      <c r="T23" s="41">
        <v>46022</v>
      </c>
      <c r="U23" s="78">
        <v>10</v>
      </c>
      <c r="V23" s="78">
        <v>10</v>
      </c>
      <c r="W23" s="79">
        <f>IFERROR((U23/V23)*$Q$23,0)</f>
        <v>0.25</v>
      </c>
      <c r="X23" s="161">
        <v>16</v>
      </c>
      <c r="Y23" s="162">
        <v>21</v>
      </c>
      <c r="Z23" s="163">
        <f>IFERROR((X23/Y23)*$Q$23,0)</f>
        <v>0.19047619047619047</v>
      </c>
      <c r="AA23" s="190">
        <v>13</v>
      </c>
      <c r="AB23" s="191">
        <v>29</v>
      </c>
      <c r="AC23" s="192">
        <f>IFERROR((AA23/AB23)*$Q$23,0)</f>
        <v>0.11206896551724138</v>
      </c>
      <c r="AD23" s="226">
        <v>9</v>
      </c>
      <c r="AE23" s="227">
        <v>20</v>
      </c>
      <c r="AF23" s="228">
        <f>IFERROR((AD23/AE23)*$Q$23,0)</f>
        <v>0.1125</v>
      </c>
      <c r="AG23" s="43">
        <f t="shared" si="1"/>
        <v>0.66504515599343184</v>
      </c>
      <c r="AH23" s="270"/>
      <c r="AI23" s="42" t="s">
        <v>77</v>
      </c>
      <c r="AJ23" s="57" t="s">
        <v>78</v>
      </c>
      <c r="AK23" s="89" t="s">
        <v>439</v>
      </c>
      <c r="AL23" s="70" t="s">
        <v>442</v>
      </c>
      <c r="AM23" s="152" t="s">
        <v>615</v>
      </c>
      <c r="AN23" s="151" t="s">
        <v>622</v>
      </c>
      <c r="AO23" s="180" t="s">
        <v>722</v>
      </c>
      <c r="AP23" s="179" t="s">
        <v>751</v>
      </c>
      <c r="AQ23" s="212" t="s">
        <v>825</v>
      </c>
      <c r="AR23" s="210" t="s">
        <v>895</v>
      </c>
    </row>
    <row r="24" spans="2:44" s="44" customFormat="1" ht="180.75" customHeight="1" thickBot="1" x14ac:dyDescent="0.25">
      <c r="B24" s="24">
        <v>14</v>
      </c>
      <c r="C24" s="37" t="s">
        <v>89</v>
      </c>
      <c r="D24" s="37" t="s">
        <v>90</v>
      </c>
      <c r="E24" s="38" t="s">
        <v>102</v>
      </c>
      <c r="F24" s="37" t="s">
        <v>425</v>
      </c>
      <c r="G24" s="37" t="s">
        <v>103</v>
      </c>
      <c r="H24" s="218" t="s">
        <v>112</v>
      </c>
      <c r="I24" s="37" t="s">
        <v>113</v>
      </c>
      <c r="J24" s="37" t="s">
        <v>114</v>
      </c>
      <c r="K24" s="37" t="s">
        <v>336</v>
      </c>
      <c r="L24" s="37" t="s">
        <v>51</v>
      </c>
      <c r="M24" s="37" t="s">
        <v>52</v>
      </c>
      <c r="N24" s="37" t="s">
        <v>54</v>
      </c>
      <c r="O24" s="37" t="s">
        <v>54</v>
      </c>
      <c r="P24" s="40">
        <v>1</v>
      </c>
      <c r="Q24" s="40">
        <v>0.25</v>
      </c>
      <c r="R24" s="37" t="s">
        <v>64</v>
      </c>
      <c r="S24" s="41">
        <v>45658</v>
      </c>
      <c r="T24" s="41">
        <v>46022</v>
      </c>
      <c r="U24" s="78">
        <v>130</v>
      </c>
      <c r="V24" s="78">
        <v>142</v>
      </c>
      <c r="W24" s="79">
        <f>IFERROR((U24/V24)*$Q$24,0)</f>
        <v>0.22887323943661972</v>
      </c>
      <c r="X24" s="161">
        <v>250</v>
      </c>
      <c r="Y24" s="160">
        <v>272</v>
      </c>
      <c r="Z24" s="163">
        <f>IFERROR((X24/Y24)*$Q$24,0)</f>
        <v>0.22977941176470587</v>
      </c>
      <c r="AA24" s="190">
        <v>292</v>
      </c>
      <c r="AB24" s="189">
        <v>344</v>
      </c>
      <c r="AC24" s="192">
        <f>IFERROR((AA24/AB24)*$Q$24,0)</f>
        <v>0.21220930232558138</v>
      </c>
      <c r="AD24" s="226">
        <v>277</v>
      </c>
      <c r="AE24" s="225">
        <v>320</v>
      </c>
      <c r="AF24" s="228">
        <f>IFERROR((AD24/AE24)*$Q$24,0)</f>
        <v>0.21640624999999999</v>
      </c>
      <c r="AG24" s="43">
        <f t="shared" si="1"/>
        <v>0.88726820352690694</v>
      </c>
      <c r="AH24" s="271"/>
      <c r="AI24" s="42" t="s">
        <v>77</v>
      </c>
      <c r="AJ24" s="57" t="s">
        <v>78</v>
      </c>
      <c r="AK24" s="89" t="s">
        <v>440</v>
      </c>
      <c r="AL24" s="70" t="s">
        <v>443</v>
      </c>
      <c r="AM24" s="152" t="s">
        <v>616</v>
      </c>
      <c r="AN24" s="151" t="s">
        <v>623</v>
      </c>
      <c r="AO24" s="180" t="s">
        <v>723</v>
      </c>
      <c r="AP24" s="179" t="s">
        <v>752</v>
      </c>
      <c r="AQ24" s="212" t="s">
        <v>826</v>
      </c>
      <c r="AR24" s="210" t="s">
        <v>896</v>
      </c>
    </row>
    <row r="25" spans="2:44" s="44" customFormat="1" ht="177.75" customHeight="1" thickBot="1" x14ac:dyDescent="0.25">
      <c r="B25" s="24">
        <v>15</v>
      </c>
      <c r="C25" s="37" t="s">
        <v>89</v>
      </c>
      <c r="D25" s="37" t="s">
        <v>90</v>
      </c>
      <c r="E25" s="38" t="s">
        <v>102</v>
      </c>
      <c r="F25" s="37" t="s">
        <v>426</v>
      </c>
      <c r="G25" s="37" t="s">
        <v>115</v>
      </c>
      <c r="H25" s="218" t="s">
        <v>284</v>
      </c>
      <c r="I25" s="37" t="s">
        <v>116</v>
      </c>
      <c r="J25" s="37" t="s">
        <v>117</v>
      </c>
      <c r="K25" s="37" t="s">
        <v>118</v>
      </c>
      <c r="L25" s="37" t="s">
        <v>51</v>
      </c>
      <c r="M25" s="37" t="s">
        <v>119</v>
      </c>
      <c r="N25" s="53">
        <v>0.31</v>
      </c>
      <c r="O25" s="37" t="s">
        <v>120</v>
      </c>
      <c r="P25" s="45" t="s">
        <v>285</v>
      </c>
      <c r="Q25" s="40">
        <v>0.25</v>
      </c>
      <c r="R25" s="37" t="s">
        <v>64</v>
      </c>
      <c r="S25" s="41">
        <v>45658</v>
      </c>
      <c r="T25" s="41">
        <v>46022</v>
      </c>
      <c r="U25" s="92">
        <v>0.33</v>
      </c>
      <c r="V25" s="74">
        <v>0.28999999999999998</v>
      </c>
      <c r="W25" s="75">
        <f>IF(OR(U25=0, V25=0), "0", IF(U25&lt;=V25, $Q$25, MAX(0, $Q$25 * (1 - ((U25 - V25) / V25)))))</f>
        <v>0.2155172413793103</v>
      </c>
      <c r="X25" s="171">
        <v>0.33600000000000002</v>
      </c>
      <c r="Y25" s="158">
        <v>0.28999999999999998</v>
      </c>
      <c r="Z25" s="159">
        <f>IF(OR(X25=0, Y25=0), "0", IF(X25&lt;=Y25, $Q$25, MAX(0, $Q$25 * (1 - ((X25 - Y25) / Y25)))))</f>
        <v>0.21034482758620687</v>
      </c>
      <c r="AA25" s="203">
        <v>0.32900000000000001</v>
      </c>
      <c r="AB25" s="187">
        <v>0.28999999999999998</v>
      </c>
      <c r="AC25" s="188">
        <f>IF(OR(AA25=0, AB25=0), "0", IF(AA25&lt;=AB25, $Q$25, MAX(0, $Q$25 * (1 - ((AA25 - AB25) / AB25)))))</f>
        <v>0.21637931034482755</v>
      </c>
      <c r="AD25" s="231">
        <v>0.32300000000000001</v>
      </c>
      <c r="AE25" s="223">
        <v>0.28999999999999998</v>
      </c>
      <c r="AF25" s="224">
        <f>IF(OR(AD25=0, AE25=0), "0", IF(AD25&lt;=AE25, $Q$25, MAX(0, $Q$25 * (1 - ((AD25 - AE25) / AE25)))))</f>
        <v>0.22155172413793101</v>
      </c>
      <c r="AG25" s="43">
        <f>AF25+AC25+Z25+W25</f>
        <v>0.86379310344827576</v>
      </c>
      <c r="AH25" s="269">
        <f>AVERAGE(AG25:AG28)</f>
        <v>0.96772211651985462</v>
      </c>
      <c r="AI25" s="42" t="s">
        <v>77</v>
      </c>
      <c r="AJ25" s="57" t="s">
        <v>78</v>
      </c>
      <c r="AK25" s="89" t="s">
        <v>444</v>
      </c>
      <c r="AL25" s="70" t="s">
        <v>448</v>
      </c>
      <c r="AM25" s="152" t="s">
        <v>624</v>
      </c>
      <c r="AN25" s="151" t="s">
        <v>627</v>
      </c>
      <c r="AO25" s="180" t="s">
        <v>713</v>
      </c>
      <c r="AP25" s="179" t="s">
        <v>754</v>
      </c>
      <c r="AQ25" s="212" t="s">
        <v>827</v>
      </c>
      <c r="AR25" s="210" t="s">
        <v>875</v>
      </c>
    </row>
    <row r="26" spans="2:44" s="44" customFormat="1" ht="135" customHeight="1" thickBot="1" x14ac:dyDescent="0.25">
      <c r="B26" s="24">
        <v>16</v>
      </c>
      <c r="C26" s="37" t="s">
        <v>89</v>
      </c>
      <c r="D26" s="37" t="s">
        <v>90</v>
      </c>
      <c r="E26" s="38" t="s">
        <v>102</v>
      </c>
      <c r="F26" s="37" t="s">
        <v>427</v>
      </c>
      <c r="G26" s="37" t="s">
        <v>121</v>
      </c>
      <c r="H26" s="218" t="s">
        <v>337</v>
      </c>
      <c r="I26" s="37" t="s">
        <v>338</v>
      </c>
      <c r="J26" s="37" t="s">
        <v>339</v>
      </c>
      <c r="K26" s="37" t="s">
        <v>340</v>
      </c>
      <c r="L26" s="37" t="s">
        <v>51</v>
      </c>
      <c r="M26" s="37" t="s">
        <v>119</v>
      </c>
      <c r="N26" s="37" t="s">
        <v>54</v>
      </c>
      <c r="O26" s="37" t="s">
        <v>54</v>
      </c>
      <c r="P26" s="27" t="s">
        <v>364</v>
      </c>
      <c r="Q26" s="40">
        <v>0.25</v>
      </c>
      <c r="R26" s="37" t="s">
        <v>64</v>
      </c>
      <c r="S26" s="41">
        <v>45658</v>
      </c>
      <c r="T26" s="41">
        <v>46022</v>
      </c>
      <c r="U26" s="93">
        <f>9391292552.52/9419676127.52</f>
        <v>0.99698677803612845</v>
      </c>
      <c r="V26" s="74">
        <v>0.95</v>
      </c>
      <c r="W26" s="75">
        <f>IF(U26&gt;=V26, Q26, Q26 * (U26 / V26))</f>
        <v>0.25</v>
      </c>
      <c r="X26" s="172">
        <f>9469233237/9613192375</f>
        <v>0.98502483541530084</v>
      </c>
      <c r="Y26" s="158">
        <v>0.95</v>
      </c>
      <c r="Z26" s="159">
        <f>IF(X26&gt;=Y26, Q26, Q26 * (X26 / Y26))</f>
        <v>0.25</v>
      </c>
      <c r="AA26" s="207">
        <f>10177140052/10341976969</f>
        <v>0.98406137264721272</v>
      </c>
      <c r="AB26" s="208">
        <v>0.95</v>
      </c>
      <c r="AC26" s="188">
        <f>IF(AA26&gt;=AB26, Q26, Q26 * (AA26 / AB26))</f>
        <v>0.25</v>
      </c>
      <c r="AD26" s="229">
        <f>11724406646/12000878345</f>
        <v>0.9769623779983414</v>
      </c>
      <c r="AE26" s="229">
        <v>0.95</v>
      </c>
      <c r="AF26" s="224">
        <f>IFERROR((AD26/AE26)*$Q$26, 0)</f>
        <v>0.25709536263114247</v>
      </c>
      <c r="AG26" s="43">
        <f t="shared" si="1"/>
        <v>1.0070953626311425</v>
      </c>
      <c r="AH26" s="270"/>
      <c r="AI26" s="42" t="s">
        <v>77</v>
      </c>
      <c r="AJ26" s="57" t="s">
        <v>78</v>
      </c>
      <c r="AK26" s="90" t="s">
        <v>447</v>
      </c>
      <c r="AL26" s="70" t="s">
        <v>449</v>
      </c>
      <c r="AM26" s="152" t="s">
        <v>625</v>
      </c>
      <c r="AN26" s="151" t="s">
        <v>628</v>
      </c>
      <c r="AO26" s="180" t="s">
        <v>714</v>
      </c>
      <c r="AP26" s="179" t="s">
        <v>813</v>
      </c>
      <c r="AQ26" s="212" t="s">
        <v>828</v>
      </c>
      <c r="AR26" s="210" t="s">
        <v>897</v>
      </c>
    </row>
    <row r="27" spans="2:44" s="44" customFormat="1" ht="149.25" customHeight="1" thickBot="1" x14ac:dyDescent="0.25">
      <c r="B27" s="24">
        <v>17</v>
      </c>
      <c r="C27" s="37" t="s">
        <v>89</v>
      </c>
      <c r="D27" s="37" t="s">
        <v>90</v>
      </c>
      <c r="E27" s="38" t="s">
        <v>102</v>
      </c>
      <c r="F27" s="37" t="s">
        <v>427</v>
      </c>
      <c r="G27" s="37" t="s">
        <v>121</v>
      </c>
      <c r="H27" s="218" t="s">
        <v>122</v>
      </c>
      <c r="I27" s="37" t="s">
        <v>123</v>
      </c>
      <c r="J27" s="37" t="s">
        <v>124</v>
      </c>
      <c r="K27" s="37" t="s">
        <v>286</v>
      </c>
      <c r="L27" s="37" t="s">
        <v>51</v>
      </c>
      <c r="M27" s="37" t="s">
        <v>119</v>
      </c>
      <c r="N27" s="54">
        <v>3.3000000000000002E-2</v>
      </c>
      <c r="O27" s="37" t="s">
        <v>120</v>
      </c>
      <c r="P27" s="45" t="s">
        <v>287</v>
      </c>
      <c r="Q27" s="40">
        <v>0.25</v>
      </c>
      <c r="R27" s="37" t="s">
        <v>64</v>
      </c>
      <c r="S27" s="41">
        <v>45658</v>
      </c>
      <c r="T27" s="41">
        <v>46022</v>
      </c>
      <c r="U27" s="80">
        <f>3534517609/151954013742</f>
        <v>2.3260442563900908E-2</v>
      </c>
      <c r="V27" s="74">
        <v>0.03</v>
      </c>
      <c r="W27" s="75">
        <f>IF(OR(U27="",U27=0),0,IF(U27&lt;=V27,$Q$27,MAX(0,$Q$27*(1-((U27-V27)/V27)))))</f>
        <v>0.25</v>
      </c>
      <c r="X27" s="164">
        <v>0.02</v>
      </c>
      <c r="Y27" s="158">
        <v>0.03</v>
      </c>
      <c r="Z27" s="159">
        <f>IF(OR(X27="",X27=0),0,IF(X27&lt;=Y27,$Q$27,MAX(0,$Q$27*(1-((X27-Y27)/Y27)))))</f>
        <v>0.25</v>
      </c>
      <c r="AA27" s="193">
        <v>2.3E-2</v>
      </c>
      <c r="AB27" s="187">
        <v>0.03</v>
      </c>
      <c r="AC27" s="188">
        <f>IF(OR(AA27="",AA27=0),0,IF(AA27&lt;=AB27,$Q$27,MAX(0,$Q$27*(1-((AA27-AB27)/AB27)))))</f>
        <v>0.25</v>
      </c>
      <c r="AD27" s="230">
        <v>1.7999999999999999E-2</v>
      </c>
      <c r="AE27" s="223">
        <v>0.03</v>
      </c>
      <c r="AF27" s="224">
        <f>IF(OR(AD27="",AD27=0),0,IF(AD27&lt;=AE27,$Q$27,MAX(0,$Q$27*(1-((AD27-AE27)/AE27)))))</f>
        <v>0.25</v>
      </c>
      <c r="AG27" s="43">
        <f t="shared" si="1"/>
        <v>1</v>
      </c>
      <c r="AH27" s="270"/>
      <c r="AI27" s="42" t="s">
        <v>77</v>
      </c>
      <c r="AJ27" s="57" t="s">
        <v>78</v>
      </c>
      <c r="AK27" s="90" t="s">
        <v>445</v>
      </c>
      <c r="AL27" s="70" t="s">
        <v>450</v>
      </c>
      <c r="AM27" s="152" t="s">
        <v>445</v>
      </c>
      <c r="AN27" s="151" t="s">
        <v>630</v>
      </c>
      <c r="AO27" s="180" t="s">
        <v>715</v>
      </c>
      <c r="AP27" s="179" t="s">
        <v>753</v>
      </c>
      <c r="AQ27" s="212" t="s">
        <v>715</v>
      </c>
      <c r="AR27" s="210" t="s">
        <v>871</v>
      </c>
    </row>
    <row r="28" spans="2:44" s="44" customFormat="1" ht="145.5" customHeight="1" thickBot="1" x14ac:dyDescent="0.25">
      <c r="B28" s="24">
        <v>18</v>
      </c>
      <c r="C28" s="37" t="s">
        <v>89</v>
      </c>
      <c r="D28" s="37" t="s">
        <v>90</v>
      </c>
      <c r="E28" s="38" t="s">
        <v>102</v>
      </c>
      <c r="F28" s="37" t="s">
        <v>427</v>
      </c>
      <c r="G28" s="37" t="s">
        <v>121</v>
      </c>
      <c r="H28" s="218" t="s">
        <v>125</v>
      </c>
      <c r="I28" s="37" t="s">
        <v>126</v>
      </c>
      <c r="J28" s="37" t="s">
        <v>127</v>
      </c>
      <c r="K28" s="37" t="s">
        <v>288</v>
      </c>
      <c r="L28" s="37" t="s">
        <v>51</v>
      </c>
      <c r="M28" s="37" t="s">
        <v>119</v>
      </c>
      <c r="N28" s="54">
        <v>3.3000000000000002E-2</v>
      </c>
      <c r="O28" s="37" t="s">
        <v>120</v>
      </c>
      <c r="P28" s="45" t="s">
        <v>287</v>
      </c>
      <c r="Q28" s="40">
        <v>0.25</v>
      </c>
      <c r="R28" s="37" t="s">
        <v>64</v>
      </c>
      <c r="S28" s="41">
        <v>45658</v>
      </c>
      <c r="T28" s="41">
        <v>46022</v>
      </c>
      <c r="U28" s="80">
        <f>4322502732/151954013742</f>
        <v>2.8446124097380541E-2</v>
      </c>
      <c r="V28" s="74">
        <v>0.03</v>
      </c>
      <c r="W28" s="75">
        <f>IF(OR(U28="",U28=0),0,IF(U28&lt;=V28,$Q$28,MAX(0,$Q$28*(1-((U28-V28)/V28)))))</f>
        <v>0.25</v>
      </c>
      <c r="X28" s="164">
        <v>2.4E-2</v>
      </c>
      <c r="Y28" s="158">
        <v>0.03</v>
      </c>
      <c r="Z28" s="159">
        <f>IF(OR(X28="",X28=0),0,IF(X28&lt;=Y28,$Q$28,MAX(0,$Q$28*(1-((X28-Y28)/Y28)))))</f>
        <v>0.25</v>
      </c>
      <c r="AA28" s="203">
        <v>1.7000000000000001E-2</v>
      </c>
      <c r="AB28" s="187">
        <v>0.03</v>
      </c>
      <c r="AC28" s="188">
        <f>IF(OR(AA28="",AA28=0),0,IF(AA28&lt;=AB28,$Q$28,MAX(0,$Q$28*(1-((AA28-AB28)/AB28)))))</f>
        <v>0.25</v>
      </c>
      <c r="AD28" s="231">
        <v>2.3E-2</v>
      </c>
      <c r="AE28" s="223">
        <v>0.03</v>
      </c>
      <c r="AF28" s="224">
        <f>IF(OR(AD28="",AD28=0),0,IF(AD28&lt;=AE28,$Q$28,MAX(0,$Q$28*(1-((AD28-AE28)/AE28)))))</f>
        <v>0.25</v>
      </c>
      <c r="AG28" s="43">
        <f t="shared" si="1"/>
        <v>1</v>
      </c>
      <c r="AH28" s="271"/>
      <c r="AI28" s="42" t="s">
        <v>77</v>
      </c>
      <c r="AJ28" s="57" t="s">
        <v>78</v>
      </c>
      <c r="AK28" s="90" t="s">
        <v>446</v>
      </c>
      <c r="AL28" s="70" t="s">
        <v>451</v>
      </c>
      <c r="AM28" s="152" t="s">
        <v>626</v>
      </c>
      <c r="AN28" s="151" t="s">
        <v>629</v>
      </c>
      <c r="AO28" s="180" t="s">
        <v>716</v>
      </c>
      <c r="AP28" s="179" t="s">
        <v>755</v>
      </c>
      <c r="AQ28" s="212" t="s">
        <v>716</v>
      </c>
      <c r="AR28" s="211" t="s">
        <v>869</v>
      </c>
    </row>
    <row r="29" spans="2:44" s="59" customFormat="1" ht="348" customHeight="1" thickBot="1" x14ac:dyDescent="0.25">
      <c r="B29" s="24">
        <v>19</v>
      </c>
      <c r="C29" s="25" t="s">
        <v>128</v>
      </c>
      <c r="D29" s="25" t="s">
        <v>129</v>
      </c>
      <c r="E29" s="26" t="s">
        <v>130</v>
      </c>
      <c r="F29" s="25" t="s">
        <v>131</v>
      </c>
      <c r="G29" s="25" t="s">
        <v>132</v>
      </c>
      <c r="H29" s="219" t="s">
        <v>133</v>
      </c>
      <c r="I29" s="25" t="s">
        <v>400</v>
      </c>
      <c r="J29" s="25" t="s">
        <v>401</v>
      </c>
      <c r="K29" s="25" t="s">
        <v>402</v>
      </c>
      <c r="L29" s="25" t="s">
        <v>51</v>
      </c>
      <c r="M29" s="25" t="s">
        <v>63</v>
      </c>
      <c r="N29" s="25" t="s">
        <v>54</v>
      </c>
      <c r="O29" s="25" t="s">
        <v>403</v>
      </c>
      <c r="P29" s="27" t="s">
        <v>364</v>
      </c>
      <c r="Q29" s="28">
        <v>0.25</v>
      </c>
      <c r="R29" s="25" t="s">
        <v>64</v>
      </c>
      <c r="S29" s="41">
        <v>45658</v>
      </c>
      <c r="T29" s="41">
        <v>46022</v>
      </c>
      <c r="U29" s="73">
        <v>15</v>
      </c>
      <c r="V29" s="71">
        <v>15</v>
      </c>
      <c r="W29" s="72">
        <f>IFERROR((U29/V29)*$Q$29,0)</f>
        <v>0.25</v>
      </c>
      <c r="X29" s="157">
        <v>4</v>
      </c>
      <c r="Y29" s="155">
        <v>4</v>
      </c>
      <c r="Z29" s="156">
        <f>IFERROR((X29/Y29)*$Q$29,0)</f>
        <v>0.25</v>
      </c>
      <c r="AA29" s="186">
        <v>11</v>
      </c>
      <c r="AB29" s="184">
        <v>11</v>
      </c>
      <c r="AC29" s="181">
        <f>IFERROR((AA29/AB29)*$Q$29,0)</f>
        <v>0.25</v>
      </c>
      <c r="AD29" s="221">
        <v>7</v>
      </c>
      <c r="AE29" s="220">
        <v>9</v>
      </c>
      <c r="AF29" s="214">
        <f>IFERROR((AD29/AE29)*$Q$29,0)</f>
        <v>0.19444444444444445</v>
      </c>
      <c r="AG29" s="31">
        <f t="shared" si="1"/>
        <v>0.94444444444444442</v>
      </c>
      <c r="AH29" s="273">
        <f>+(AG29+AG30+AG31)/3</f>
        <v>0.96293058793058783</v>
      </c>
      <c r="AI29" s="30" t="s">
        <v>134</v>
      </c>
      <c r="AJ29" s="56" t="s">
        <v>135</v>
      </c>
      <c r="AK29" s="94" t="s">
        <v>452</v>
      </c>
      <c r="AL29" s="70" t="s">
        <v>453</v>
      </c>
      <c r="AM29" s="152" t="s">
        <v>631</v>
      </c>
      <c r="AN29" s="151" t="s">
        <v>634</v>
      </c>
      <c r="AO29" s="180" t="s">
        <v>739</v>
      </c>
      <c r="AP29" s="179" t="s">
        <v>766</v>
      </c>
      <c r="AQ29" s="212" t="s">
        <v>842</v>
      </c>
      <c r="AR29" s="211" t="s">
        <v>898</v>
      </c>
    </row>
    <row r="30" spans="2:44" s="59" customFormat="1" ht="228" customHeight="1" thickBot="1" x14ac:dyDescent="0.25">
      <c r="B30" s="24">
        <v>20</v>
      </c>
      <c r="C30" s="25" t="s">
        <v>128</v>
      </c>
      <c r="D30" s="25" t="s">
        <v>129</v>
      </c>
      <c r="E30" s="26" t="s">
        <v>130</v>
      </c>
      <c r="F30" s="25" t="s">
        <v>131</v>
      </c>
      <c r="G30" s="25" t="s">
        <v>132</v>
      </c>
      <c r="H30" s="219" t="s">
        <v>395</v>
      </c>
      <c r="I30" s="25" t="s">
        <v>396</v>
      </c>
      <c r="J30" s="25" t="s">
        <v>397</v>
      </c>
      <c r="K30" s="25" t="s">
        <v>398</v>
      </c>
      <c r="L30" s="25" t="s">
        <v>57</v>
      </c>
      <c r="M30" s="25" t="s">
        <v>63</v>
      </c>
      <c r="N30" s="25">
        <v>3</v>
      </c>
      <c r="O30" s="25" t="s">
        <v>136</v>
      </c>
      <c r="P30" s="27">
        <v>1</v>
      </c>
      <c r="Q30" s="28">
        <v>0.25</v>
      </c>
      <c r="R30" s="25" t="s">
        <v>147</v>
      </c>
      <c r="S30" s="29">
        <v>45658</v>
      </c>
      <c r="T30" s="29">
        <v>46022</v>
      </c>
      <c r="U30" s="73">
        <v>70</v>
      </c>
      <c r="V30" s="71">
        <v>70</v>
      </c>
      <c r="W30" s="72">
        <f>IFERROR((U30/V30)*$Q$30,0)</f>
        <v>0.25</v>
      </c>
      <c r="X30" s="157">
        <v>32</v>
      </c>
      <c r="Y30" s="155">
        <v>33</v>
      </c>
      <c r="Z30" s="156">
        <f>IFERROR((X30/Y30)*$Q$30,0)</f>
        <v>0.24242424242424243</v>
      </c>
      <c r="AA30" s="186">
        <v>26</v>
      </c>
      <c r="AB30" s="184">
        <v>26</v>
      </c>
      <c r="AC30" s="181">
        <f>IFERROR((AA30/AB30)*$Q$30,0)</f>
        <v>0.25</v>
      </c>
      <c r="AD30" s="221">
        <v>13</v>
      </c>
      <c r="AE30" s="220">
        <v>13</v>
      </c>
      <c r="AF30" s="214">
        <f>IFERROR((AD30/AE30)*$Q$30,0)</f>
        <v>0.25</v>
      </c>
      <c r="AG30" s="31">
        <f>+W30+Z30+AC30+AF30</f>
        <v>0.99242424242424243</v>
      </c>
      <c r="AH30" s="273"/>
      <c r="AI30" s="30" t="s">
        <v>148</v>
      </c>
      <c r="AJ30" s="56" t="s">
        <v>149</v>
      </c>
      <c r="AK30" s="90" t="s">
        <v>454</v>
      </c>
      <c r="AL30" s="70" t="s">
        <v>456</v>
      </c>
      <c r="AM30" s="152" t="s">
        <v>632</v>
      </c>
      <c r="AN30" s="151" t="s">
        <v>635</v>
      </c>
      <c r="AO30" s="180" t="s">
        <v>740</v>
      </c>
      <c r="AP30" s="179" t="s">
        <v>767</v>
      </c>
      <c r="AQ30" s="212" t="s">
        <v>843</v>
      </c>
      <c r="AR30" s="211" t="s">
        <v>899</v>
      </c>
    </row>
    <row r="31" spans="2:44" s="59" customFormat="1" ht="192.75" customHeight="1" thickBot="1" x14ac:dyDescent="0.25">
      <c r="B31" s="24">
        <v>21</v>
      </c>
      <c r="C31" s="25" t="s">
        <v>128</v>
      </c>
      <c r="D31" s="25" t="s">
        <v>129</v>
      </c>
      <c r="E31" s="26" t="s">
        <v>130</v>
      </c>
      <c r="F31" s="25" t="s">
        <v>131</v>
      </c>
      <c r="G31" s="25" t="s">
        <v>132</v>
      </c>
      <c r="H31" s="219" t="s">
        <v>137</v>
      </c>
      <c r="I31" s="25" t="s">
        <v>138</v>
      </c>
      <c r="J31" s="25" t="s">
        <v>139</v>
      </c>
      <c r="K31" s="25" t="s">
        <v>399</v>
      </c>
      <c r="L31" s="25" t="s">
        <v>51</v>
      </c>
      <c r="M31" s="25" t="s">
        <v>63</v>
      </c>
      <c r="N31" s="25" t="s">
        <v>54</v>
      </c>
      <c r="O31" s="25" t="s">
        <v>54</v>
      </c>
      <c r="P31" s="27" t="s">
        <v>364</v>
      </c>
      <c r="Q31" s="28">
        <v>0.25</v>
      </c>
      <c r="R31" s="25" t="s">
        <v>147</v>
      </c>
      <c r="S31" s="29">
        <v>45658</v>
      </c>
      <c r="T31" s="29">
        <v>46022</v>
      </c>
      <c r="U31" s="73">
        <v>6</v>
      </c>
      <c r="V31" s="71">
        <v>6</v>
      </c>
      <c r="W31" s="72">
        <f>IFERROR((U31/V31)*$Q$31,0)</f>
        <v>0.25</v>
      </c>
      <c r="X31" s="157">
        <v>1</v>
      </c>
      <c r="Y31" s="155">
        <v>1</v>
      </c>
      <c r="Z31" s="156">
        <f>IFERROR((X31/Y31)*$Q$31,0)</f>
        <v>0.25</v>
      </c>
      <c r="AA31" s="186">
        <v>7</v>
      </c>
      <c r="AB31" s="184">
        <v>7</v>
      </c>
      <c r="AC31" s="181">
        <f>IFERROR((AA31/AB31)*$Q$31,0)</f>
        <v>0.25</v>
      </c>
      <c r="AD31" s="221">
        <v>105</v>
      </c>
      <c r="AE31" s="220">
        <v>130</v>
      </c>
      <c r="AF31" s="214">
        <f>IFERROR((AD31/AE31)*$Q$31,0)</f>
        <v>0.20192307692307693</v>
      </c>
      <c r="AG31" s="31">
        <f t="shared" si="1"/>
        <v>0.95192307692307687</v>
      </c>
      <c r="AH31" s="273"/>
      <c r="AI31" s="30" t="s">
        <v>134</v>
      </c>
      <c r="AJ31" s="56" t="s">
        <v>135</v>
      </c>
      <c r="AK31" s="90" t="s">
        <v>455</v>
      </c>
      <c r="AL31" s="70" t="s">
        <v>457</v>
      </c>
      <c r="AM31" s="152" t="s">
        <v>633</v>
      </c>
      <c r="AN31" s="151" t="s">
        <v>710</v>
      </c>
      <c r="AO31" s="180" t="s">
        <v>741</v>
      </c>
      <c r="AP31" s="179" t="s">
        <v>768</v>
      </c>
      <c r="AQ31" s="212" t="s">
        <v>844</v>
      </c>
      <c r="AR31" s="211" t="s">
        <v>900</v>
      </c>
    </row>
    <row r="32" spans="2:44" s="59" customFormat="1" ht="185.25" customHeight="1" thickBot="1" x14ac:dyDescent="0.25">
      <c r="B32" s="24">
        <v>22</v>
      </c>
      <c r="C32" s="25" t="s">
        <v>140</v>
      </c>
      <c r="D32" s="25" t="s">
        <v>45</v>
      </c>
      <c r="E32" s="26" t="s">
        <v>141</v>
      </c>
      <c r="F32" s="25" t="s">
        <v>142</v>
      </c>
      <c r="G32" s="25" t="s">
        <v>143</v>
      </c>
      <c r="H32" s="219" t="s">
        <v>144</v>
      </c>
      <c r="I32" s="25" t="s">
        <v>145</v>
      </c>
      <c r="J32" s="25" t="s">
        <v>146</v>
      </c>
      <c r="K32" s="25" t="s">
        <v>358</v>
      </c>
      <c r="L32" s="25" t="s">
        <v>57</v>
      </c>
      <c r="M32" s="25" t="s">
        <v>63</v>
      </c>
      <c r="N32" s="25" t="s">
        <v>54</v>
      </c>
      <c r="O32" s="25" t="s">
        <v>54</v>
      </c>
      <c r="P32" s="27">
        <v>1</v>
      </c>
      <c r="Q32" s="28" t="s">
        <v>85</v>
      </c>
      <c r="R32" s="25" t="s">
        <v>147</v>
      </c>
      <c r="S32" s="29">
        <v>45658</v>
      </c>
      <c r="T32" s="29">
        <v>46022</v>
      </c>
      <c r="U32" s="73">
        <v>3</v>
      </c>
      <c r="V32" s="71">
        <v>3</v>
      </c>
      <c r="W32" s="72">
        <f>IFERROR((U32/V32)*25%,0)</f>
        <v>0.25</v>
      </c>
      <c r="X32" s="157">
        <v>24</v>
      </c>
      <c r="Y32" s="155">
        <v>24</v>
      </c>
      <c r="Z32" s="156">
        <f>IFERROR((X32/Y32)*25%,0)</f>
        <v>0.25</v>
      </c>
      <c r="AA32" s="186">
        <v>36</v>
      </c>
      <c r="AB32" s="184">
        <v>39</v>
      </c>
      <c r="AC32" s="181">
        <f>IFERROR((AA32/AB32)*25%,0)</f>
        <v>0.23076923076923078</v>
      </c>
      <c r="AD32" s="221">
        <v>15</v>
      </c>
      <c r="AE32" s="220">
        <v>15</v>
      </c>
      <c r="AF32" s="214">
        <f>IFERROR((AD32/AE32)*25%,0)</f>
        <v>0.25</v>
      </c>
      <c r="AG32" s="31">
        <f t="shared" si="1"/>
        <v>0.98076923076923084</v>
      </c>
      <c r="AH32" s="273">
        <f>+(AG32+AG34+AG35+AG36+AG33)/5</f>
        <v>0.74881107033384076</v>
      </c>
      <c r="AI32" s="30" t="s">
        <v>148</v>
      </c>
      <c r="AJ32" s="56" t="s">
        <v>149</v>
      </c>
      <c r="AK32" s="90" t="s">
        <v>458</v>
      </c>
      <c r="AL32" s="70" t="s">
        <v>483</v>
      </c>
      <c r="AM32" s="150" t="s">
        <v>636</v>
      </c>
      <c r="AN32" s="151" t="s">
        <v>659</v>
      </c>
      <c r="AO32" s="178" t="s">
        <v>735</v>
      </c>
      <c r="AP32" s="179" t="s">
        <v>814</v>
      </c>
      <c r="AQ32" s="210" t="s">
        <v>864</v>
      </c>
      <c r="AR32" s="211" t="s">
        <v>901</v>
      </c>
    </row>
    <row r="33" spans="2:44" s="59" customFormat="1" ht="256.5" customHeight="1" thickBot="1" x14ac:dyDescent="0.25">
      <c r="B33" s="24">
        <v>23</v>
      </c>
      <c r="C33" s="25" t="s">
        <v>140</v>
      </c>
      <c r="D33" s="25" t="s">
        <v>45</v>
      </c>
      <c r="E33" s="26" t="s">
        <v>141</v>
      </c>
      <c r="F33" s="25" t="s">
        <v>142</v>
      </c>
      <c r="G33" s="25" t="s">
        <v>143</v>
      </c>
      <c r="H33" s="219" t="s">
        <v>150</v>
      </c>
      <c r="I33" s="25" t="s">
        <v>151</v>
      </c>
      <c r="J33" s="25" t="s">
        <v>152</v>
      </c>
      <c r="K33" s="25" t="s">
        <v>359</v>
      </c>
      <c r="L33" s="25" t="s">
        <v>57</v>
      </c>
      <c r="M33" s="25" t="s">
        <v>63</v>
      </c>
      <c r="N33" s="25" t="s">
        <v>54</v>
      </c>
      <c r="O33" s="25" t="s">
        <v>54</v>
      </c>
      <c r="P33" s="27">
        <v>1</v>
      </c>
      <c r="Q33" s="28">
        <v>0.25</v>
      </c>
      <c r="R33" s="25" t="s">
        <v>147</v>
      </c>
      <c r="S33" s="29">
        <v>45658</v>
      </c>
      <c r="T33" s="29">
        <v>46022</v>
      </c>
      <c r="U33" s="73">
        <v>64</v>
      </c>
      <c r="V33" s="71">
        <v>64</v>
      </c>
      <c r="W33" s="72">
        <f>IFERROR((U33/V33)*$Q$33,0)</f>
        <v>0.25</v>
      </c>
      <c r="X33" s="157">
        <v>24</v>
      </c>
      <c r="Y33" s="155">
        <v>24</v>
      </c>
      <c r="Z33" s="156">
        <f>IFERROR((X33/Y33)*$Q$33,0)</f>
        <v>0.25</v>
      </c>
      <c r="AA33" s="186">
        <v>35</v>
      </c>
      <c r="AB33" s="184">
        <v>34</v>
      </c>
      <c r="AC33" s="181">
        <f>IFERROR((AA33/AB33)*$Q$33,0)</f>
        <v>0.25735294117647056</v>
      </c>
      <c r="AD33" s="221">
        <v>20</v>
      </c>
      <c r="AE33" s="220">
        <v>31</v>
      </c>
      <c r="AF33" s="214">
        <f>IFERROR((AD33/AE33)*$Q$33,0)</f>
        <v>0.16129032258064516</v>
      </c>
      <c r="AG33" s="31">
        <f t="shared" si="1"/>
        <v>0.91864326375711569</v>
      </c>
      <c r="AH33" s="273"/>
      <c r="AI33" s="30" t="s">
        <v>148</v>
      </c>
      <c r="AJ33" s="56" t="s">
        <v>149</v>
      </c>
      <c r="AK33" s="90" t="s">
        <v>459</v>
      </c>
      <c r="AL33" s="70" t="s">
        <v>580</v>
      </c>
      <c r="AM33" s="150" t="s">
        <v>637</v>
      </c>
      <c r="AN33" s="151" t="s">
        <v>660</v>
      </c>
      <c r="AO33" s="178" t="s">
        <v>736</v>
      </c>
      <c r="AP33" s="179" t="s">
        <v>756</v>
      </c>
      <c r="AQ33" s="210" t="s">
        <v>902</v>
      </c>
      <c r="AR33" s="211" t="s">
        <v>903</v>
      </c>
    </row>
    <row r="34" spans="2:44" s="59" customFormat="1" ht="183" customHeight="1" thickBot="1" x14ac:dyDescent="0.25">
      <c r="B34" s="24">
        <v>24</v>
      </c>
      <c r="C34" s="25" t="s">
        <v>140</v>
      </c>
      <c r="D34" s="25" t="s">
        <v>45</v>
      </c>
      <c r="E34" s="26" t="s">
        <v>141</v>
      </c>
      <c r="F34" s="25" t="s">
        <v>142</v>
      </c>
      <c r="G34" s="25" t="s">
        <v>153</v>
      </c>
      <c r="H34" s="219" t="s">
        <v>154</v>
      </c>
      <c r="I34" s="25" t="s">
        <v>155</v>
      </c>
      <c r="J34" s="25" t="s">
        <v>156</v>
      </c>
      <c r="K34" s="25" t="s">
        <v>157</v>
      </c>
      <c r="L34" s="25" t="s">
        <v>57</v>
      </c>
      <c r="M34" s="25" t="s">
        <v>63</v>
      </c>
      <c r="N34" s="25" t="s">
        <v>54</v>
      </c>
      <c r="O34" s="25" t="s">
        <v>54</v>
      </c>
      <c r="P34" s="27">
        <v>1</v>
      </c>
      <c r="Q34" s="28">
        <v>0.25</v>
      </c>
      <c r="R34" s="25" t="s">
        <v>53</v>
      </c>
      <c r="S34" s="29">
        <v>45658</v>
      </c>
      <c r="T34" s="29">
        <v>46022</v>
      </c>
      <c r="U34" s="73">
        <v>1</v>
      </c>
      <c r="V34" s="71">
        <v>1</v>
      </c>
      <c r="W34" s="72">
        <f>IFERROR((U34/V34)*$Q$34,0)</f>
        <v>0.25</v>
      </c>
      <c r="X34" s="157">
        <v>0</v>
      </c>
      <c r="Y34" s="155">
        <v>0</v>
      </c>
      <c r="Z34" s="156">
        <f>IFERROR((X34/Y34)*$Q$34,0)</f>
        <v>0</v>
      </c>
      <c r="AA34" s="186">
        <v>1</v>
      </c>
      <c r="AB34" s="184">
        <v>1</v>
      </c>
      <c r="AC34" s="181">
        <f>IFERROR((AA34/AB34)*$Q$34,0)</f>
        <v>0.25</v>
      </c>
      <c r="AD34" s="221">
        <v>4</v>
      </c>
      <c r="AE34" s="220">
        <v>4</v>
      </c>
      <c r="AF34" s="214">
        <f>IFERROR((AD34/AE34)*$Q$34,0)</f>
        <v>0.25</v>
      </c>
      <c r="AG34" s="31">
        <f t="shared" si="1"/>
        <v>0.75</v>
      </c>
      <c r="AH34" s="273"/>
      <c r="AI34" s="30" t="s">
        <v>148</v>
      </c>
      <c r="AJ34" s="56" t="s">
        <v>149</v>
      </c>
      <c r="AK34" s="90" t="s">
        <v>460</v>
      </c>
      <c r="AL34" s="70" t="s">
        <v>484</v>
      </c>
      <c r="AM34" s="150" t="s">
        <v>638</v>
      </c>
      <c r="AN34" s="151" t="s">
        <v>661</v>
      </c>
      <c r="AO34" s="178" t="s">
        <v>737</v>
      </c>
      <c r="AP34" s="179" t="s">
        <v>757</v>
      </c>
      <c r="AQ34" s="210" t="s">
        <v>865</v>
      </c>
      <c r="AR34" s="211" t="s">
        <v>904</v>
      </c>
    </row>
    <row r="35" spans="2:44" s="59" customFormat="1" ht="346.5" customHeight="1" thickBot="1" x14ac:dyDescent="0.25">
      <c r="B35" s="24">
        <v>25</v>
      </c>
      <c r="C35" s="25" t="s">
        <v>140</v>
      </c>
      <c r="D35" s="25" t="s">
        <v>45</v>
      </c>
      <c r="E35" s="26" t="s">
        <v>141</v>
      </c>
      <c r="F35" s="25" t="s">
        <v>142</v>
      </c>
      <c r="G35" s="25" t="s">
        <v>158</v>
      </c>
      <c r="H35" s="219" t="s">
        <v>159</v>
      </c>
      <c r="I35" s="25" t="s">
        <v>160</v>
      </c>
      <c r="J35" s="25" t="s">
        <v>161</v>
      </c>
      <c r="K35" s="25" t="s">
        <v>360</v>
      </c>
      <c r="L35" s="25" t="s">
        <v>57</v>
      </c>
      <c r="M35" s="25" t="s">
        <v>63</v>
      </c>
      <c r="N35" s="25" t="s">
        <v>54</v>
      </c>
      <c r="O35" s="25" t="s">
        <v>54</v>
      </c>
      <c r="P35" s="27" t="s">
        <v>364</v>
      </c>
      <c r="Q35" s="28">
        <v>0.5</v>
      </c>
      <c r="R35" s="25" t="s">
        <v>177</v>
      </c>
      <c r="S35" s="29">
        <v>45658</v>
      </c>
      <c r="T35" s="29">
        <v>46022</v>
      </c>
      <c r="U35" s="73">
        <v>0</v>
      </c>
      <c r="V35" s="71">
        <v>0</v>
      </c>
      <c r="W35" s="72" t="s">
        <v>54</v>
      </c>
      <c r="X35" s="157">
        <v>7</v>
      </c>
      <c r="Y35" s="155">
        <v>20</v>
      </c>
      <c r="Z35" s="156">
        <f>IFERROR((X35/Y35)*$Q$35,0)</f>
        <v>0.17499999999999999</v>
      </c>
      <c r="AA35" s="186">
        <v>2</v>
      </c>
      <c r="AB35" s="184">
        <v>16</v>
      </c>
      <c r="AC35" s="181">
        <f>IFERROR((AA35/AB35)*$Q$35,0)</f>
        <v>6.25E-2</v>
      </c>
      <c r="AD35" s="221">
        <v>0</v>
      </c>
      <c r="AE35" s="220">
        <v>9</v>
      </c>
      <c r="AF35" s="214">
        <f>IFERROR((AD35/AE35)*$Q$35,0)</f>
        <v>0</v>
      </c>
      <c r="AG35" s="31">
        <f>Z35+AF35+AC35</f>
        <v>0.23749999999999999</v>
      </c>
      <c r="AH35" s="273"/>
      <c r="AI35" s="30" t="s">
        <v>148</v>
      </c>
      <c r="AJ35" s="56" t="s">
        <v>149</v>
      </c>
      <c r="AK35" s="90" t="s">
        <v>485</v>
      </c>
      <c r="AL35" s="70" t="s">
        <v>486</v>
      </c>
      <c r="AM35" s="150" t="s">
        <v>639</v>
      </c>
      <c r="AN35" s="151" t="s">
        <v>662</v>
      </c>
      <c r="AO35" s="178" t="s">
        <v>738</v>
      </c>
      <c r="AP35" s="179" t="s">
        <v>758</v>
      </c>
      <c r="AQ35" s="210" t="s">
        <v>866</v>
      </c>
      <c r="AR35" s="211" t="s">
        <v>905</v>
      </c>
    </row>
    <row r="36" spans="2:44" s="59" customFormat="1" ht="309" customHeight="1" thickBot="1" x14ac:dyDescent="0.25">
      <c r="B36" s="24">
        <v>26</v>
      </c>
      <c r="C36" s="25" t="s">
        <v>140</v>
      </c>
      <c r="D36" s="25" t="s">
        <v>45</v>
      </c>
      <c r="E36" s="26" t="s">
        <v>141</v>
      </c>
      <c r="F36" s="25" t="s">
        <v>162</v>
      </c>
      <c r="G36" s="25" t="s">
        <v>163</v>
      </c>
      <c r="H36" s="219" t="s">
        <v>164</v>
      </c>
      <c r="I36" s="25" t="s">
        <v>362</v>
      </c>
      <c r="J36" s="25" t="s">
        <v>363</v>
      </c>
      <c r="K36" s="25" t="s">
        <v>361</v>
      </c>
      <c r="L36" s="25" t="s">
        <v>57</v>
      </c>
      <c r="M36" s="25" t="s">
        <v>63</v>
      </c>
      <c r="N36" s="25" t="s">
        <v>54</v>
      </c>
      <c r="O36" s="25" t="s">
        <v>54</v>
      </c>
      <c r="P36" s="27" t="s">
        <v>364</v>
      </c>
      <c r="Q36" s="28">
        <v>0.25</v>
      </c>
      <c r="R36" s="25" t="s">
        <v>64</v>
      </c>
      <c r="S36" s="29">
        <v>45658</v>
      </c>
      <c r="T36" s="29">
        <v>46022</v>
      </c>
      <c r="U36" s="73">
        <v>7</v>
      </c>
      <c r="V36" s="71">
        <v>7</v>
      </c>
      <c r="W36" s="72">
        <f>IFERROR((U36/V36)*$Q$36,0)</f>
        <v>0.25</v>
      </c>
      <c r="X36" s="157">
        <v>6</v>
      </c>
      <c r="Y36" s="155">
        <v>7</v>
      </c>
      <c r="Z36" s="156">
        <f>IFERROR((X36/Y36)*$Q$36,0)</f>
        <v>0.21428571428571427</v>
      </c>
      <c r="AA36" s="186">
        <v>6</v>
      </c>
      <c r="AB36" s="184">
        <v>7</v>
      </c>
      <c r="AC36" s="181">
        <f>IFERROR((AA36/AB36)*$Q$36,0)</f>
        <v>0.21428571428571427</v>
      </c>
      <c r="AD36" s="221">
        <v>5</v>
      </c>
      <c r="AE36" s="220">
        <v>7</v>
      </c>
      <c r="AF36" s="214">
        <f>IFERROR((AD36/AE36)*$Q$36,0)</f>
        <v>0.17857142857142858</v>
      </c>
      <c r="AG36" s="31">
        <f t="shared" si="1"/>
        <v>0.85714285714285721</v>
      </c>
      <c r="AH36" s="273"/>
      <c r="AI36" s="30" t="s">
        <v>148</v>
      </c>
      <c r="AJ36" s="56" t="s">
        <v>149</v>
      </c>
      <c r="AK36" s="95" t="s">
        <v>461</v>
      </c>
      <c r="AL36" s="70" t="s">
        <v>487</v>
      </c>
      <c r="AM36" s="173" t="s">
        <v>640</v>
      </c>
      <c r="AN36" s="151" t="s">
        <v>663</v>
      </c>
      <c r="AO36" s="200" t="s">
        <v>717</v>
      </c>
      <c r="AP36" s="179" t="s">
        <v>759</v>
      </c>
      <c r="AQ36" s="213" t="s">
        <v>867</v>
      </c>
      <c r="AR36" s="211" t="s">
        <v>906</v>
      </c>
    </row>
    <row r="37" spans="2:44" s="59" customFormat="1" ht="261.75" customHeight="1" thickBot="1" x14ac:dyDescent="0.25">
      <c r="B37" s="24">
        <v>27</v>
      </c>
      <c r="C37" s="25" t="s">
        <v>165</v>
      </c>
      <c r="D37" s="25" t="s">
        <v>166</v>
      </c>
      <c r="E37" s="26" t="s">
        <v>167</v>
      </c>
      <c r="F37" s="25" t="s">
        <v>168</v>
      </c>
      <c r="G37" s="25" t="s">
        <v>169</v>
      </c>
      <c r="H37" s="219" t="s">
        <v>380</v>
      </c>
      <c r="I37" s="25" t="s">
        <v>381</v>
      </c>
      <c r="J37" s="25" t="s">
        <v>382</v>
      </c>
      <c r="K37" s="25" t="s">
        <v>383</v>
      </c>
      <c r="L37" s="25" t="s">
        <v>57</v>
      </c>
      <c r="M37" s="25" t="s">
        <v>63</v>
      </c>
      <c r="N37" s="25" t="s">
        <v>170</v>
      </c>
      <c r="O37" s="25" t="s">
        <v>171</v>
      </c>
      <c r="P37" s="27" t="s">
        <v>364</v>
      </c>
      <c r="Q37" s="28">
        <v>0.25</v>
      </c>
      <c r="R37" s="25" t="s">
        <v>64</v>
      </c>
      <c r="S37" s="29">
        <v>45658</v>
      </c>
      <c r="T37" s="29">
        <v>46022</v>
      </c>
      <c r="U37" s="81">
        <v>1</v>
      </c>
      <c r="V37" s="81">
        <v>1</v>
      </c>
      <c r="W37" s="72">
        <f>IFERROR((U37/V37)*$Q$37,0)</f>
        <v>0.25</v>
      </c>
      <c r="X37" s="157">
        <v>1</v>
      </c>
      <c r="Y37" s="155">
        <v>4</v>
      </c>
      <c r="Z37" s="156">
        <f>IFERROR((X37/Y37)*$Q$37,0)</f>
        <v>6.25E-2</v>
      </c>
      <c r="AA37" s="186">
        <v>2</v>
      </c>
      <c r="AB37" s="184">
        <v>5</v>
      </c>
      <c r="AC37" s="181">
        <f>IFERROR((AA37/AB37)*$Q$37,0)</f>
        <v>0.1</v>
      </c>
      <c r="AD37" s="221">
        <v>4</v>
      </c>
      <c r="AE37" s="220">
        <v>4</v>
      </c>
      <c r="AF37" s="214">
        <f>IFERROR((AD37/AE37)*$Q$37,0)</f>
        <v>0.25</v>
      </c>
      <c r="AG37" s="31">
        <f>+Z37+AC37+AF37+W37</f>
        <v>0.66249999999999998</v>
      </c>
      <c r="AH37" s="273">
        <f>+(AG37+AG38+AG39+AG40+AG41+AG42)/6</f>
        <v>0.70360768820198638</v>
      </c>
      <c r="AI37" s="30" t="s">
        <v>173</v>
      </c>
      <c r="AJ37" s="56" t="s">
        <v>174</v>
      </c>
      <c r="AK37" s="90" t="s">
        <v>462</v>
      </c>
      <c r="AL37" s="70" t="s">
        <v>488</v>
      </c>
      <c r="AM37" s="156" t="s">
        <v>641</v>
      </c>
      <c r="AN37" s="151" t="s">
        <v>664</v>
      </c>
      <c r="AO37" s="181" t="s">
        <v>725</v>
      </c>
      <c r="AP37" s="179" t="s">
        <v>760</v>
      </c>
      <c r="AQ37" s="214" t="s">
        <v>880</v>
      </c>
      <c r="AR37" s="211" t="s">
        <v>928</v>
      </c>
    </row>
    <row r="38" spans="2:44" s="59" customFormat="1" ht="231" customHeight="1" thickBot="1" x14ac:dyDescent="0.25">
      <c r="B38" s="24">
        <v>28</v>
      </c>
      <c r="C38" s="25" t="s">
        <v>165</v>
      </c>
      <c r="D38" s="25" t="s">
        <v>166</v>
      </c>
      <c r="E38" s="26" t="s">
        <v>167</v>
      </c>
      <c r="F38" s="25" t="s">
        <v>384</v>
      </c>
      <c r="G38" s="25" t="s">
        <v>175</v>
      </c>
      <c r="H38" s="219" t="s">
        <v>176</v>
      </c>
      <c r="I38" s="25" t="s">
        <v>386</v>
      </c>
      <c r="J38" s="25" t="s">
        <v>385</v>
      </c>
      <c r="K38" s="25" t="s">
        <v>387</v>
      </c>
      <c r="L38" s="25" t="s">
        <v>57</v>
      </c>
      <c r="M38" s="25" t="s">
        <v>63</v>
      </c>
      <c r="N38" s="25">
        <v>2</v>
      </c>
      <c r="O38" s="25" t="s">
        <v>171</v>
      </c>
      <c r="P38" s="27">
        <v>2</v>
      </c>
      <c r="Q38" s="28">
        <v>0.5</v>
      </c>
      <c r="R38" s="25" t="s">
        <v>177</v>
      </c>
      <c r="S38" s="29">
        <v>45658</v>
      </c>
      <c r="T38" s="29">
        <v>46022</v>
      </c>
      <c r="U38" s="81" t="s">
        <v>172</v>
      </c>
      <c r="V38" s="82" t="s">
        <v>172</v>
      </c>
      <c r="W38" s="72" t="s">
        <v>54</v>
      </c>
      <c r="X38" s="157">
        <v>1</v>
      </c>
      <c r="Y38" s="155">
        <v>1</v>
      </c>
      <c r="Z38" s="156">
        <f>IFERROR((X38/Y38)*$Q$38,0)</f>
        <v>0.5</v>
      </c>
      <c r="AA38" s="194" t="s">
        <v>172</v>
      </c>
      <c r="AB38" s="195" t="s">
        <v>172</v>
      </c>
      <c r="AC38" s="181" t="s">
        <v>54</v>
      </c>
      <c r="AD38" s="221">
        <v>5</v>
      </c>
      <c r="AE38" s="220">
        <v>6</v>
      </c>
      <c r="AF38" s="214">
        <f>IFERROR((AD38/AE38)*$Q$38,0)</f>
        <v>0.41666666666666669</v>
      </c>
      <c r="AG38" s="31">
        <f>+Z38+AF38</f>
        <v>0.91666666666666674</v>
      </c>
      <c r="AH38" s="273"/>
      <c r="AI38" s="30" t="s">
        <v>173</v>
      </c>
      <c r="AJ38" s="56" t="s">
        <v>174</v>
      </c>
      <c r="AK38" s="90" t="s">
        <v>463</v>
      </c>
      <c r="AL38" s="70" t="s">
        <v>489</v>
      </c>
      <c r="AM38" s="150" t="s">
        <v>642</v>
      </c>
      <c r="AN38" s="151" t="s">
        <v>665</v>
      </c>
      <c r="AO38" s="199" t="s">
        <v>726</v>
      </c>
      <c r="AP38" s="179" t="s">
        <v>761</v>
      </c>
      <c r="AQ38" s="215" t="s">
        <v>845</v>
      </c>
      <c r="AR38" s="211" t="s">
        <v>907</v>
      </c>
    </row>
    <row r="39" spans="2:44" s="59" customFormat="1" ht="171.75" customHeight="1" thickBot="1" x14ac:dyDescent="0.25">
      <c r="B39" s="24">
        <v>29</v>
      </c>
      <c r="C39" s="25" t="s">
        <v>165</v>
      </c>
      <c r="D39" s="25" t="s">
        <v>166</v>
      </c>
      <c r="E39" s="26" t="s">
        <v>167</v>
      </c>
      <c r="F39" s="25" t="s">
        <v>168</v>
      </c>
      <c r="G39" s="25" t="s">
        <v>169</v>
      </c>
      <c r="H39" s="219" t="s">
        <v>415</v>
      </c>
      <c r="I39" s="25" t="s">
        <v>416</v>
      </c>
      <c r="J39" s="25" t="s">
        <v>417</v>
      </c>
      <c r="K39" s="25" t="s">
        <v>418</v>
      </c>
      <c r="L39" s="25" t="s">
        <v>57</v>
      </c>
      <c r="M39" s="25" t="s">
        <v>63</v>
      </c>
      <c r="N39" s="25">
        <v>1</v>
      </c>
      <c r="O39" s="25" t="s">
        <v>178</v>
      </c>
      <c r="P39" s="27" t="s">
        <v>364</v>
      </c>
      <c r="Q39" s="28">
        <v>0.25</v>
      </c>
      <c r="R39" s="25" t="s">
        <v>64</v>
      </c>
      <c r="S39" s="29">
        <v>45658</v>
      </c>
      <c r="T39" s="29">
        <v>46022</v>
      </c>
      <c r="U39" s="73">
        <v>18</v>
      </c>
      <c r="V39" s="71">
        <v>18</v>
      </c>
      <c r="W39" s="72">
        <f>IFERROR((U39/V39)*$Q$39,0)</f>
        <v>0.25</v>
      </c>
      <c r="X39" s="157">
        <v>9</v>
      </c>
      <c r="Y39" s="155">
        <v>9</v>
      </c>
      <c r="Z39" s="156">
        <f>IFERROR((X39/Y39)*$Q$39,0)</f>
        <v>0.25</v>
      </c>
      <c r="AA39" s="186">
        <v>6</v>
      </c>
      <c r="AB39" s="184">
        <v>6</v>
      </c>
      <c r="AC39" s="181">
        <f>IFERROR((AA39/AB39)*$Q$39,0)</f>
        <v>0.25</v>
      </c>
      <c r="AD39" s="221">
        <v>4</v>
      </c>
      <c r="AE39" s="220">
        <v>19</v>
      </c>
      <c r="AF39" s="214">
        <f>IFERROR((AD39/AE39)*$Q$39,0)</f>
        <v>5.2631578947368418E-2</v>
      </c>
      <c r="AG39" s="31">
        <f>+W39+Z39+AC39+AF39</f>
        <v>0.80263157894736836</v>
      </c>
      <c r="AH39" s="273"/>
      <c r="AI39" s="30" t="s">
        <v>173</v>
      </c>
      <c r="AJ39" s="56" t="s">
        <v>174</v>
      </c>
      <c r="AK39" s="90" t="s">
        <v>464</v>
      </c>
      <c r="AL39" s="91" t="s">
        <v>490</v>
      </c>
      <c r="AM39" s="156" t="s">
        <v>643</v>
      </c>
      <c r="AN39" s="151" t="s">
        <v>699</v>
      </c>
      <c r="AO39" s="181" t="s">
        <v>727</v>
      </c>
      <c r="AP39" s="179" t="s">
        <v>762</v>
      </c>
      <c r="AQ39" s="215" t="s">
        <v>829</v>
      </c>
      <c r="AR39" s="211" t="s">
        <v>876</v>
      </c>
    </row>
    <row r="40" spans="2:44" s="59" customFormat="1" ht="157.5" customHeight="1" thickBot="1" x14ac:dyDescent="0.25">
      <c r="B40" s="24">
        <v>30</v>
      </c>
      <c r="C40" s="25" t="s">
        <v>165</v>
      </c>
      <c r="D40" s="25" t="s">
        <v>166</v>
      </c>
      <c r="E40" s="26" t="s">
        <v>167</v>
      </c>
      <c r="F40" s="25" t="s">
        <v>168</v>
      </c>
      <c r="G40" s="25" t="s">
        <v>179</v>
      </c>
      <c r="H40" s="219" t="s">
        <v>180</v>
      </c>
      <c r="I40" s="25" t="s">
        <v>181</v>
      </c>
      <c r="J40" s="25" t="s">
        <v>182</v>
      </c>
      <c r="K40" s="25" t="s">
        <v>388</v>
      </c>
      <c r="L40" s="25" t="s">
        <v>57</v>
      </c>
      <c r="M40" s="25" t="s">
        <v>63</v>
      </c>
      <c r="N40" s="25">
        <v>64</v>
      </c>
      <c r="O40" s="25" t="s">
        <v>183</v>
      </c>
      <c r="P40" s="27">
        <v>2</v>
      </c>
      <c r="Q40" s="28">
        <v>0.5</v>
      </c>
      <c r="R40" s="25" t="s">
        <v>177</v>
      </c>
      <c r="S40" s="29">
        <v>45658</v>
      </c>
      <c r="T40" s="29">
        <v>46022</v>
      </c>
      <c r="U40" s="73" t="s">
        <v>172</v>
      </c>
      <c r="V40" s="71" t="s">
        <v>172</v>
      </c>
      <c r="W40" s="72" t="s">
        <v>54</v>
      </c>
      <c r="X40" s="157">
        <v>55</v>
      </c>
      <c r="Y40" s="155">
        <v>55</v>
      </c>
      <c r="Z40" s="156">
        <f>IFERROR((X40/Y40)*$Q40,0)</f>
        <v>0.5</v>
      </c>
      <c r="AA40" s="186" t="s">
        <v>265</v>
      </c>
      <c r="AB40" s="184" t="s">
        <v>172</v>
      </c>
      <c r="AC40" s="181" t="s">
        <v>54</v>
      </c>
      <c r="AD40" s="221">
        <v>8</v>
      </c>
      <c r="AE40" s="220">
        <v>54</v>
      </c>
      <c r="AF40" s="214">
        <f>IFERROR((AD40/AE40)*$Q40,0)</f>
        <v>7.407407407407407E-2</v>
      </c>
      <c r="AG40" s="31">
        <f>Z40+AF40</f>
        <v>0.57407407407407407</v>
      </c>
      <c r="AH40" s="273"/>
      <c r="AI40" s="30" t="s">
        <v>173</v>
      </c>
      <c r="AJ40" s="56" t="s">
        <v>174</v>
      </c>
      <c r="AK40" s="90" t="s">
        <v>465</v>
      </c>
      <c r="AL40" s="70" t="s">
        <v>491</v>
      </c>
      <c r="AM40" s="156" t="s">
        <v>644</v>
      </c>
      <c r="AN40" s="151" t="s">
        <v>700</v>
      </c>
      <c r="AO40" s="181" t="s">
        <v>728</v>
      </c>
      <c r="AP40" s="179" t="s">
        <v>763</v>
      </c>
      <c r="AQ40" s="215" t="s">
        <v>830</v>
      </c>
      <c r="AR40" s="211" t="s">
        <v>872</v>
      </c>
    </row>
    <row r="41" spans="2:44" s="59" customFormat="1" ht="153.75" customHeight="1" thickBot="1" x14ac:dyDescent="0.25">
      <c r="B41" s="24">
        <v>31</v>
      </c>
      <c r="C41" s="25" t="s">
        <v>165</v>
      </c>
      <c r="D41" s="25" t="s">
        <v>166</v>
      </c>
      <c r="E41" s="26" t="s">
        <v>167</v>
      </c>
      <c r="F41" s="25" t="s">
        <v>168</v>
      </c>
      <c r="G41" s="25" t="s">
        <v>179</v>
      </c>
      <c r="H41" s="219" t="s">
        <v>185</v>
      </c>
      <c r="I41" s="25" t="s">
        <v>184</v>
      </c>
      <c r="J41" s="25" t="s">
        <v>185</v>
      </c>
      <c r="K41" s="25" t="s">
        <v>389</v>
      </c>
      <c r="L41" s="25" t="s">
        <v>57</v>
      </c>
      <c r="M41" s="25" t="s">
        <v>63</v>
      </c>
      <c r="N41" s="25">
        <v>3</v>
      </c>
      <c r="O41" s="25" t="s">
        <v>186</v>
      </c>
      <c r="P41" s="27">
        <v>3</v>
      </c>
      <c r="Q41" s="28">
        <v>0.25</v>
      </c>
      <c r="R41" s="25" t="s">
        <v>64</v>
      </c>
      <c r="S41" s="29">
        <v>45658</v>
      </c>
      <c r="T41" s="29">
        <v>46022</v>
      </c>
      <c r="U41" s="73">
        <v>3</v>
      </c>
      <c r="V41" s="71">
        <v>3</v>
      </c>
      <c r="W41" s="72">
        <f>IFERROR((U41/V41)*$Q$41,0)</f>
        <v>0.25</v>
      </c>
      <c r="X41" s="157">
        <v>3</v>
      </c>
      <c r="Y41" s="155">
        <v>3</v>
      </c>
      <c r="Z41" s="156">
        <f>IFERROR((X41/Y41)*$Q$41,0)</f>
        <v>0.25</v>
      </c>
      <c r="AA41" s="186">
        <v>3</v>
      </c>
      <c r="AB41" s="184">
        <v>3</v>
      </c>
      <c r="AC41" s="181">
        <f>IFERROR((AA41/AB41)*$Q$41,0)</f>
        <v>0.25</v>
      </c>
      <c r="AD41" s="221">
        <v>3</v>
      </c>
      <c r="AE41" s="220">
        <v>3</v>
      </c>
      <c r="AF41" s="214">
        <f>IFERROR((AD41/AE41)*$Q$41,0)</f>
        <v>0.25</v>
      </c>
      <c r="AG41" s="31">
        <f t="shared" ref="AG41:AG47" si="2">+W41+Z41+AC41+AF41</f>
        <v>1</v>
      </c>
      <c r="AH41" s="273"/>
      <c r="AI41" s="30" t="s">
        <v>173</v>
      </c>
      <c r="AJ41" s="56" t="s">
        <v>174</v>
      </c>
      <c r="AK41" s="90" t="s">
        <v>466</v>
      </c>
      <c r="AL41" s="70" t="s">
        <v>492</v>
      </c>
      <c r="AM41" s="156" t="s">
        <v>645</v>
      </c>
      <c r="AN41" s="151" t="s">
        <v>701</v>
      </c>
      <c r="AO41" s="181" t="s">
        <v>729</v>
      </c>
      <c r="AP41" s="179" t="s">
        <v>764</v>
      </c>
      <c r="AQ41" s="215" t="s">
        <v>831</v>
      </c>
      <c r="AR41" s="211" t="s">
        <v>851</v>
      </c>
    </row>
    <row r="42" spans="2:44" s="59" customFormat="1" ht="174" customHeight="1" thickBot="1" x14ac:dyDescent="0.25">
      <c r="B42" s="24">
        <v>32</v>
      </c>
      <c r="C42" s="25" t="s">
        <v>165</v>
      </c>
      <c r="D42" s="25" t="s">
        <v>390</v>
      </c>
      <c r="E42" s="26" t="s">
        <v>167</v>
      </c>
      <c r="F42" s="25" t="s">
        <v>168</v>
      </c>
      <c r="G42" s="25" t="s">
        <v>169</v>
      </c>
      <c r="H42" s="219" t="s">
        <v>391</v>
      </c>
      <c r="I42" s="25" t="s">
        <v>392</v>
      </c>
      <c r="J42" s="25" t="s">
        <v>393</v>
      </c>
      <c r="K42" s="25" t="s">
        <v>394</v>
      </c>
      <c r="L42" s="25" t="s">
        <v>57</v>
      </c>
      <c r="M42" s="25" t="s">
        <v>63</v>
      </c>
      <c r="N42" s="25" t="s">
        <v>54</v>
      </c>
      <c r="O42" s="25" t="s">
        <v>171</v>
      </c>
      <c r="P42" s="27" t="s">
        <v>364</v>
      </c>
      <c r="Q42" s="28">
        <v>0.25</v>
      </c>
      <c r="R42" s="25" t="s">
        <v>64</v>
      </c>
      <c r="S42" s="29">
        <v>45658</v>
      </c>
      <c r="T42" s="29">
        <v>46022</v>
      </c>
      <c r="U42" s="81">
        <v>1</v>
      </c>
      <c r="V42" s="82">
        <v>8</v>
      </c>
      <c r="W42" s="72">
        <f>IFERROR((U42/V42)*$Q$42,0)</f>
        <v>3.125E-2</v>
      </c>
      <c r="X42" s="157">
        <v>1</v>
      </c>
      <c r="Y42" s="165">
        <v>5</v>
      </c>
      <c r="Z42" s="156">
        <f>IFERROR((X42/Y42)*$Q$42,0)</f>
        <v>0.05</v>
      </c>
      <c r="AA42" s="186">
        <v>1</v>
      </c>
      <c r="AB42" s="196">
        <v>6</v>
      </c>
      <c r="AC42" s="181">
        <f>IFERROR((AA42/AB42)*$Q$42,0)</f>
        <v>4.1666666666666664E-2</v>
      </c>
      <c r="AD42" s="221">
        <v>4</v>
      </c>
      <c r="AE42" s="232">
        <v>7</v>
      </c>
      <c r="AF42" s="214">
        <f>IFERROR((AD42/AE42)*$Q$42,0)</f>
        <v>0.14285714285714285</v>
      </c>
      <c r="AG42" s="31">
        <f t="shared" si="2"/>
        <v>0.26577380952380952</v>
      </c>
      <c r="AH42" s="273"/>
      <c r="AI42" s="30" t="s">
        <v>173</v>
      </c>
      <c r="AJ42" s="56" t="s">
        <v>174</v>
      </c>
      <c r="AK42" s="90" t="s">
        <v>467</v>
      </c>
      <c r="AL42" s="70" t="s">
        <v>493</v>
      </c>
      <c r="AM42" s="156" t="s">
        <v>646</v>
      </c>
      <c r="AN42" s="151" t="s">
        <v>702</v>
      </c>
      <c r="AO42" s="181" t="s">
        <v>730</v>
      </c>
      <c r="AP42" s="179" t="s">
        <v>765</v>
      </c>
      <c r="AQ42" s="215" t="s">
        <v>832</v>
      </c>
      <c r="AR42" s="211" t="s">
        <v>877</v>
      </c>
    </row>
    <row r="43" spans="2:44" s="59" customFormat="1" ht="249" customHeight="1" thickBot="1" x14ac:dyDescent="0.25">
      <c r="B43" s="24">
        <v>33</v>
      </c>
      <c r="C43" s="25" t="s">
        <v>165</v>
      </c>
      <c r="D43" s="25" t="s">
        <v>187</v>
      </c>
      <c r="E43" s="26" t="s">
        <v>188</v>
      </c>
      <c r="F43" s="25" t="s">
        <v>189</v>
      </c>
      <c r="G43" s="25" t="s">
        <v>190</v>
      </c>
      <c r="H43" s="219" t="s">
        <v>191</v>
      </c>
      <c r="I43" s="25" t="s">
        <v>342</v>
      </c>
      <c r="J43" s="25" t="s">
        <v>192</v>
      </c>
      <c r="K43" s="25" t="s">
        <v>341</v>
      </c>
      <c r="L43" s="25" t="s">
        <v>57</v>
      </c>
      <c r="M43" s="25" t="s">
        <v>52</v>
      </c>
      <c r="N43" s="25">
        <v>10</v>
      </c>
      <c r="O43" s="25" t="s">
        <v>193</v>
      </c>
      <c r="P43" s="34">
        <v>19</v>
      </c>
      <c r="Q43" s="28" t="s">
        <v>85</v>
      </c>
      <c r="R43" s="25" t="s">
        <v>64</v>
      </c>
      <c r="S43" s="29">
        <v>45658</v>
      </c>
      <c r="T43" s="29">
        <v>46022</v>
      </c>
      <c r="U43" s="73">
        <v>4</v>
      </c>
      <c r="V43" s="71">
        <v>3</v>
      </c>
      <c r="W43" s="72">
        <f>+U43/P43</f>
        <v>0.21052631578947367</v>
      </c>
      <c r="X43" s="157">
        <v>5</v>
      </c>
      <c r="Y43" s="165">
        <v>8</v>
      </c>
      <c r="Z43" s="156">
        <f>+(X43/Y43)*(X43/$P$43)</f>
        <v>0.1644736842105263</v>
      </c>
      <c r="AA43" s="186">
        <v>4</v>
      </c>
      <c r="AB43" s="196">
        <v>4</v>
      </c>
      <c r="AC43" s="181">
        <f>+(AA43/AB43)*(AA43/$P$43)</f>
        <v>0.21052631578947367</v>
      </c>
      <c r="AD43" s="221">
        <v>3</v>
      </c>
      <c r="AE43" s="232">
        <v>3</v>
      </c>
      <c r="AF43" s="214">
        <f>+(AD43/AE43)*(AD43/$P$43)</f>
        <v>0.15789473684210525</v>
      </c>
      <c r="AG43" s="55">
        <f t="shared" si="2"/>
        <v>0.74342105263157898</v>
      </c>
      <c r="AH43" s="247">
        <f>+(AG43+AG44+AG45+AG46+AG47+AG48+AG50+AG49)/8</f>
        <v>0.81838301221835652</v>
      </c>
      <c r="AI43" s="30" t="s">
        <v>194</v>
      </c>
      <c r="AJ43" s="56" t="s">
        <v>195</v>
      </c>
      <c r="AK43" s="90" t="s">
        <v>468</v>
      </c>
      <c r="AL43" s="70" t="s">
        <v>494</v>
      </c>
      <c r="AM43" s="150" t="s">
        <v>647</v>
      </c>
      <c r="AN43" s="151" t="s">
        <v>666</v>
      </c>
      <c r="AO43" s="178" t="s">
        <v>769</v>
      </c>
      <c r="AP43" s="179" t="s">
        <v>779</v>
      </c>
      <c r="AQ43" s="215" t="s">
        <v>908</v>
      </c>
      <c r="AR43" s="211" t="s">
        <v>909</v>
      </c>
    </row>
    <row r="44" spans="2:44" s="59" customFormat="1" ht="267.75" customHeight="1" thickBot="1" x14ac:dyDescent="0.25">
      <c r="B44" s="24">
        <v>34</v>
      </c>
      <c r="C44" s="25" t="s">
        <v>165</v>
      </c>
      <c r="D44" s="25" t="s">
        <v>187</v>
      </c>
      <c r="E44" s="26" t="s">
        <v>188</v>
      </c>
      <c r="F44" s="25" t="s">
        <v>189</v>
      </c>
      <c r="G44" s="25" t="s">
        <v>190</v>
      </c>
      <c r="H44" s="219" t="s">
        <v>196</v>
      </c>
      <c r="I44" s="25" t="s">
        <v>343</v>
      </c>
      <c r="J44" s="25" t="s">
        <v>197</v>
      </c>
      <c r="K44" s="25" t="s">
        <v>341</v>
      </c>
      <c r="L44" s="25" t="s">
        <v>51</v>
      </c>
      <c r="M44" s="25" t="s">
        <v>63</v>
      </c>
      <c r="N44" s="25">
        <v>29</v>
      </c>
      <c r="O44" s="25" t="s">
        <v>344</v>
      </c>
      <c r="P44" s="34">
        <v>58</v>
      </c>
      <c r="Q44" s="35" t="s">
        <v>85</v>
      </c>
      <c r="R44" s="36" t="s">
        <v>64</v>
      </c>
      <c r="S44" s="29">
        <v>45658</v>
      </c>
      <c r="T44" s="29">
        <v>46022</v>
      </c>
      <c r="U44" s="83">
        <v>13</v>
      </c>
      <c r="V44" s="84">
        <v>13</v>
      </c>
      <c r="W44" s="85">
        <f>+IFERROR((U44/V44)*(U44/$P$44),0)</f>
        <v>0.22413793103448276</v>
      </c>
      <c r="X44" s="166">
        <v>15</v>
      </c>
      <c r="Y44" s="165">
        <v>17</v>
      </c>
      <c r="Z44" s="167">
        <f>+IFERROR((X44/Y44)*(X44/$P$44),0)</f>
        <v>0.2281947261663286</v>
      </c>
      <c r="AA44" s="197">
        <v>15</v>
      </c>
      <c r="AB44" s="196">
        <v>16</v>
      </c>
      <c r="AC44" s="198">
        <f>+IFERROR((AA44/AB44)*(AA44/$P$44),0)</f>
        <v>0.24245689655172414</v>
      </c>
      <c r="AD44" s="233">
        <v>12</v>
      </c>
      <c r="AE44" s="232">
        <v>12</v>
      </c>
      <c r="AF44" s="234">
        <f>+IFERROR((AD44/AE44)*(AD44/$P$44),0)</f>
        <v>0.20689655172413793</v>
      </c>
      <c r="AG44" s="55">
        <f t="shared" si="2"/>
        <v>0.90168610547667338</v>
      </c>
      <c r="AH44" s="247"/>
      <c r="AI44" s="30" t="s">
        <v>198</v>
      </c>
      <c r="AJ44" s="56" t="s">
        <v>195</v>
      </c>
      <c r="AK44" s="90" t="s">
        <v>469</v>
      </c>
      <c r="AL44" s="70" t="s">
        <v>527</v>
      </c>
      <c r="AM44" s="150" t="s">
        <v>667</v>
      </c>
      <c r="AN44" s="151" t="s">
        <v>668</v>
      </c>
      <c r="AO44" s="178" t="s">
        <v>724</v>
      </c>
      <c r="AP44" s="179" t="s">
        <v>780</v>
      </c>
      <c r="AQ44" s="210" t="s">
        <v>853</v>
      </c>
      <c r="AR44" s="210" t="s">
        <v>910</v>
      </c>
    </row>
    <row r="45" spans="2:44" s="59" customFormat="1" ht="249.75" customHeight="1" thickBot="1" x14ac:dyDescent="0.25">
      <c r="B45" s="24">
        <v>35</v>
      </c>
      <c r="C45" s="25" t="s">
        <v>345</v>
      </c>
      <c r="D45" s="25" t="s">
        <v>346</v>
      </c>
      <c r="E45" s="26" t="s">
        <v>188</v>
      </c>
      <c r="F45" s="25" t="s">
        <v>199</v>
      </c>
      <c r="G45" s="25" t="s">
        <v>190</v>
      </c>
      <c r="H45" s="219" t="s">
        <v>200</v>
      </c>
      <c r="I45" s="25" t="s">
        <v>347</v>
      </c>
      <c r="J45" s="25" t="s">
        <v>201</v>
      </c>
      <c r="K45" s="25" t="s">
        <v>341</v>
      </c>
      <c r="L45" s="25" t="s">
        <v>51</v>
      </c>
      <c r="M45" s="25" t="s">
        <v>63</v>
      </c>
      <c r="N45" s="25">
        <v>34</v>
      </c>
      <c r="O45" s="25" t="s">
        <v>348</v>
      </c>
      <c r="P45" s="34">
        <v>34</v>
      </c>
      <c r="Q45" s="35" t="s">
        <v>85</v>
      </c>
      <c r="R45" s="36" t="s">
        <v>64</v>
      </c>
      <c r="S45" s="29">
        <v>45658</v>
      </c>
      <c r="T45" s="29">
        <v>46022</v>
      </c>
      <c r="U45" s="83">
        <v>13</v>
      </c>
      <c r="V45" s="84">
        <v>18</v>
      </c>
      <c r="W45" s="85">
        <f>+IFERROR((U45/V45)*(U45/$P$45),0)</f>
        <v>0.27614379084967317</v>
      </c>
      <c r="X45" s="166">
        <v>11</v>
      </c>
      <c r="Y45" s="165">
        <v>17</v>
      </c>
      <c r="Z45" s="167">
        <f>+IFERROR((X45/Y45)*(X45/$P$45),0)</f>
        <v>0.20934256055363323</v>
      </c>
      <c r="AA45" s="197">
        <v>7</v>
      </c>
      <c r="AB45" s="196">
        <v>10</v>
      </c>
      <c r="AC45" s="198">
        <f>+IFERROR((AA45/AB45)*(AA45/$P$45),0)</f>
        <v>0.14411764705882352</v>
      </c>
      <c r="AD45" s="233">
        <v>6</v>
      </c>
      <c r="AE45" s="232">
        <v>8</v>
      </c>
      <c r="AF45" s="234">
        <f>+IFERROR((AD45/AE45)*(AD45/$P$45),0)</f>
        <v>0.13235294117647059</v>
      </c>
      <c r="AG45" s="31">
        <f t="shared" si="2"/>
        <v>0.76195693963860056</v>
      </c>
      <c r="AH45" s="247"/>
      <c r="AI45" s="30" t="s">
        <v>198</v>
      </c>
      <c r="AJ45" s="56" t="s">
        <v>195</v>
      </c>
      <c r="AK45" s="90" t="s">
        <v>470</v>
      </c>
      <c r="AL45" s="70" t="s">
        <v>528</v>
      </c>
      <c r="AM45" s="150" t="s">
        <v>648</v>
      </c>
      <c r="AN45" s="151" t="s">
        <v>704</v>
      </c>
      <c r="AO45" s="178" t="s">
        <v>770</v>
      </c>
      <c r="AP45" s="179" t="s">
        <v>815</v>
      </c>
      <c r="AQ45" s="210" t="s">
        <v>833</v>
      </c>
      <c r="AR45" s="210" t="s">
        <v>911</v>
      </c>
    </row>
    <row r="46" spans="2:44" s="59" customFormat="1" ht="116.25" customHeight="1" thickBot="1" x14ac:dyDescent="0.25">
      <c r="B46" s="24">
        <v>36</v>
      </c>
      <c r="C46" s="25" t="s">
        <v>165</v>
      </c>
      <c r="D46" s="25" t="s">
        <v>187</v>
      </c>
      <c r="E46" s="26" t="s">
        <v>188</v>
      </c>
      <c r="F46" s="25" t="s">
        <v>202</v>
      </c>
      <c r="G46" s="25" t="s">
        <v>190</v>
      </c>
      <c r="H46" s="219" t="s">
        <v>203</v>
      </c>
      <c r="I46" s="25" t="s">
        <v>204</v>
      </c>
      <c r="J46" s="25" t="s">
        <v>205</v>
      </c>
      <c r="K46" s="25" t="s">
        <v>206</v>
      </c>
      <c r="L46" s="25" t="s">
        <v>51</v>
      </c>
      <c r="M46" s="25" t="s">
        <v>63</v>
      </c>
      <c r="N46" s="25">
        <v>1</v>
      </c>
      <c r="O46" s="25" t="s">
        <v>54</v>
      </c>
      <c r="P46" s="27">
        <v>0.9</v>
      </c>
      <c r="Q46" s="28">
        <v>0.25</v>
      </c>
      <c r="R46" s="25" t="s">
        <v>64</v>
      </c>
      <c r="S46" s="29">
        <v>45658</v>
      </c>
      <c r="T46" s="29">
        <v>46022</v>
      </c>
      <c r="U46" s="73">
        <v>3</v>
      </c>
      <c r="V46" s="71">
        <v>3</v>
      </c>
      <c r="W46" s="72">
        <f>IFERROR((U46/V46)*$Q$46,0)</f>
        <v>0.25</v>
      </c>
      <c r="X46" s="157">
        <v>3</v>
      </c>
      <c r="Y46" s="155">
        <v>3</v>
      </c>
      <c r="Z46" s="156">
        <f>IFERROR((X46/Y46)*$Q$46,0)</f>
        <v>0.25</v>
      </c>
      <c r="AA46" s="186">
        <v>3</v>
      </c>
      <c r="AB46" s="184">
        <v>3</v>
      </c>
      <c r="AC46" s="181">
        <f>IFERROR((AA46/AB46)*$Q$46,0)</f>
        <v>0.25</v>
      </c>
      <c r="AD46" s="221">
        <v>3</v>
      </c>
      <c r="AE46" s="220">
        <v>3</v>
      </c>
      <c r="AF46" s="214">
        <f>IFERROR((AD46/AE46)*$Q$46,0)</f>
        <v>0.25</v>
      </c>
      <c r="AG46" s="31">
        <f t="shared" si="2"/>
        <v>1</v>
      </c>
      <c r="AH46" s="247"/>
      <c r="AI46" s="30" t="s">
        <v>207</v>
      </c>
      <c r="AJ46" s="56" t="s">
        <v>208</v>
      </c>
      <c r="AK46" s="90" t="s">
        <v>471</v>
      </c>
      <c r="AL46" s="70" t="s">
        <v>529</v>
      </c>
      <c r="AM46" s="150" t="s">
        <v>649</v>
      </c>
      <c r="AN46" s="151" t="s">
        <v>529</v>
      </c>
      <c r="AO46" s="204" t="s">
        <v>649</v>
      </c>
      <c r="AP46" s="179" t="s">
        <v>781</v>
      </c>
      <c r="AQ46" s="216" t="s">
        <v>649</v>
      </c>
      <c r="AR46" s="210" t="s">
        <v>852</v>
      </c>
    </row>
    <row r="47" spans="2:44" s="59" customFormat="1" ht="196.5" customHeight="1" thickBot="1" x14ac:dyDescent="0.25">
      <c r="B47" s="24">
        <v>37</v>
      </c>
      <c r="C47" s="25" t="s">
        <v>165</v>
      </c>
      <c r="D47" s="25" t="s">
        <v>187</v>
      </c>
      <c r="E47" s="26" t="s">
        <v>188</v>
      </c>
      <c r="F47" s="25" t="s">
        <v>209</v>
      </c>
      <c r="G47" s="25" t="s">
        <v>210</v>
      </c>
      <c r="H47" s="219" t="s">
        <v>211</v>
      </c>
      <c r="I47" s="25" t="s">
        <v>349</v>
      </c>
      <c r="J47" s="25" t="s">
        <v>212</v>
      </c>
      <c r="K47" s="25" t="s">
        <v>213</v>
      </c>
      <c r="L47" s="25" t="s">
        <v>51</v>
      </c>
      <c r="M47" s="25" t="s">
        <v>63</v>
      </c>
      <c r="N47" s="25">
        <v>1</v>
      </c>
      <c r="O47" s="25" t="s">
        <v>54</v>
      </c>
      <c r="P47" s="27">
        <v>1</v>
      </c>
      <c r="Q47" s="28">
        <v>0.25</v>
      </c>
      <c r="R47" s="25" t="s">
        <v>64</v>
      </c>
      <c r="S47" s="29">
        <v>45658</v>
      </c>
      <c r="T47" s="29">
        <v>46022</v>
      </c>
      <c r="U47" s="73">
        <v>2</v>
      </c>
      <c r="V47" s="71">
        <v>2</v>
      </c>
      <c r="W47" s="72">
        <f>IFERROR((U47/V47)*$Q$47,0)</f>
        <v>0.25</v>
      </c>
      <c r="X47" s="157">
        <v>7</v>
      </c>
      <c r="Y47" s="155">
        <v>7</v>
      </c>
      <c r="Z47" s="156">
        <f>IFERROR((X47/Y47)*$Q$47,0)</f>
        <v>0.25</v>
      </c>
      <c r="AA47" s="186">
        <v>4</v>
      </c>
      <c r="AB47" s="184">
        <v>4</v>
      </c>
      <c r="AC47" s="181">
        <f>IFERROR((AA47/AB47)*$Q$47,0)</f>
        <v>0.25</v>
      </c>
      <c r="AD47" s="221">
        <v>3</v>
      </c>
      <c r="AE47" s="220">
        <v>3</v>
      </c>
      <c r="AF47" s="214">
        <f>IFERROR((AD47/AE47)*$Q$47,0)</f>
        <v>0.25</v>
      </c>
      <c r="AG47" s="31">
        <f t="shared" si="2"/>
        <v>1</v>
      </c>
      <c r="AH47" s="247"/>
      <c r="AI47" s="30" t="s">
        <v>207</v>
      </c>
      <c r="AJ47" s="56" t="s">
        <v>208</v>
      </c>
      <c r="AK47" s="90" t="s">
        <v>472</v>
      </c>
      <c r="AL47" s="70" t="s">
        <v>530</v>
      </c>
      <c r="AM47" s="150" t="s">
        <v>650</v>
      </c>
      <c r="AN47" s="151" t="s">
        <v>669</v>
      </c>
      <c r="AO47" s="204" t="s">
        <v>650</v>
      </c>
      <c r="AP47" s="179" t="s">
        <v>782</v>
      </c>
      <c r="AQ47" s="216" t="s">
        <v>834</v>
      </c>
      <c r="AR47" s="210" t="s">
        <v>878</v>
      </c>
    </row>
    <row r="48" spans="2:44" s="59" customFormat="1" ht="158.25" customHeight="1" thickBot="1" x14ac:dyDescent="0.25">
      <c r="B48" s="24">
        <v>38</v>
      </c>
      <c r="C48" s="25" t="s">
        <v>165</v>
      </c>
      <c r="D48" s="25" t="s">
        <v>187</v>
      </c>
      <c r="E48" s="26" t="s">
        <v>188</v>
      </c>
      <c r="F48" s="25" t="s">
        <v>214</v>
      </c>
      <c r="G48" s="25" t="s">
        <v>190</v>
      </c>
      <c r="H48" s="219" t="s">
        <v>351</v>
      </c>
      <c r="I48" s="25" t="s">
        <v>350</v>
      </c>
      <c r="J48" s="25" t="s">
        <v>352</v>
      </c>
      <c r="K48" s="25" t="s">
        <v>353</v>
      </c>
      <c r="L48" s="25" t="s">
        <v>57</v>
      </c>
      <c r="M48" s="25" t="s">
        <v>63</v>
      </c>
      <c r="N48" s="25">
        <v>2</v>
      </c>
      <c r="O48" s="25" t="s">
        <v>54</v>
      </c>
      <c r="P48" s="27">
        <v>2</v>
      </c>
      <c r="Q48" s="28">
        <v>0.5</v>
      </c>
      <c r="R48" s="25" t="s">
        <v>177</v>
      </c>
      <c r="S48" s="29">
        <v>45658</v>
      </c>
      <c r="T48" s="29">
        <v>46022</v>
      </c>
      <c r="U48" s="73">
        <v>1</v>
      </c>
      <c r="V48" s="71">
        <v>1</v>
      </c>
      <c r="W48" s="72">
        <f>IFERROR((U48/V48)*$Q$48,0)</f>
        <v>0.5</v>
      </c>
      <c r="X48" s="157" t="s">
        <v>265</v>
      </c>
      <c r="Y48" s="155" t="s">
        <v>265</v>
      </c>
      <c r="Z48" s="156" t="s">
        <v>54</v>
      </c>
      <c r="AA48" s="186">
        <v>1</v>
      </c>
      <c r="AB48" s="184">
        <v>1</v>
      </c>
      <c r="AC48" s="181">
        <f>+AA48/AB48*$Q$48</f>
        <v>0.5</v>
      </c>
      <c r="AD48" s="221" t="s">
        <v>265</v>
      </c>
      <c r="AE48" s="220" t="s">
        <v>172</v>
      </c>
      <c r="AF48" s="214" t="s">
        <v>54</v>
      </c>
      <c r="AG48" s="31">
        <f>+W48+AC48</f>
        <v>1</v>
      </c>
      <c r="AH48" s="247"/>
      <c r="AI48" s="30" t="s">
        <v>194</v>
      </c>
      <c r="AJ48" s="56" t="s">
        <v>195</v>
      </c>
      <c r="AK48" s="90" t="s">
        <v>473</v>
      </c>
      <c r="AL48" s="70" t="s">
        <v>531</v>
      </c>
      <c r="AM48" s="150" t="s">
        <v>651</v>
      </c>
      <c r="AN48" s="151" t="s">
        <v>705</v>
      </c>
      <c r="AO48" s="178" t="s">
        <v>771</v>
      </c>
      <c r="AP48" s="179" t="s">
        <v>783</v>
      </c>
      <c r="AQ48" s="210" t="s">
        <v>835</v>
      </c>
      <c r="AR48" s="210" t="s">
        <v>912</v>
      </c>
    </row>
    <row r="49" spans="2:44" s="59" customFormat="1" ht="261" customHeight="1" thickBot="1" x14ac:dyDescent="0.25">
      <c r="B49" s="24">
        <v>39</v>
      </c>
      <c r="C49" s="25" t="s">
        <v>165</v>
      </c>
      <c r="D49" s="25" t="s">
        <v>187</v>
      </c>
      <c r="E49" s="26" t="s">
        <v>188</v>
      </c>
      <c r="F49" s="25" t="s">
        <v>214</v>
      </c>
      <c r="G49" s="25" t="s">
        <v>190</v>
      </c>
      <c r="H49" s="219" t="s">
        <v>215</v>
      </c>
      <c r="I49" s="25" t="s">
        <v>354</v>
      </c>
      <c r="J49" s="25" t="s">
        <v>216</v>
      </c>
      <c r="K49" s="25" t="s">
        <v>217</v>
      </c>
      <c r="L49" s="25" t="s">
        <v>218</v>
      </c>
      <c r="M49" s="25" t="s">
        <v>63</v>
      </c>
      <c r="N49" s="25">
        <v>89</v>
      </c>
      <c r="O49" s="25" t="s">
        <v>355</v>
      </c>
      <c r="P49" s="27" t="s">
        <v>365</v>
      </c>
      <c r="Q49" s="28">
        <v>1</v>
      </c>
      <c r="R49" s="25" t="s">
        <v>53</v>
      </c>
      <c r="S49" s="29">
        <v>45658</v>
      </c>
      <c r="T49" s="29">
        <v>46022</v>
      </c>
      <c r="U49" s="73" t="s">
        <v>172</v>
      </c>
      <c r="V49" s="71" t="s">
        <v>172</v>
      </c>
      <c r="W49" s="72" t="s">
        <v>54</v>
      </c>
      <c r="X49" s="157" t="s">
        <v>265</v>
      </c>
      <c r="Y49" s="155" t="s">
        <v>265</v>
      </c>
      <c r="Z49" s="156" t="s">
        <v>54</v>
      </c>
      <c r="AA49" s="186" t="s">
        <v>265</v>
      </c>
      <c r="AB49" s="184" t="s">
        <v>172</v>
      </c>
      <c r="AC49" s="181" t="s">
        <v>54</v>
      </c>
      <c r="AD49" s="221">
        <v>89</v>
      </c>
      <c r="AE49" s="220">
        <v>90</v>
      </c>
      <c r="AF49" s="214">
        <f>IF(AD49&gt;AE49,100%,AD49%)</f>
        <v>0.89</v>
      </c>
      <c r="AG49" s="31">
        <f>+AF49</f>
        <v>0.89</v>
      </c>
      <c r="AH49" s="247"/>
      <c r="AI49" s="30" t="s">
        <v>194</v>
      </c>
      <c r="AJ49" s="56" t="s">
        <v>195</v>
      </c>
      <c r="AK49" s="90" t="s">
        <v>474</v>
      </c>
      <c r="AL49" s="70" t="s">
        <v>532</v>
      </c>
      <c r="AM49" s="150" t="s">
        <v>671</v>
      </c>
      <c r="AN49" s="151" t="s">
        <v>672</v>
      </c>
      <c r="AO49" s="178" t="s">
        <v>772</v>
      </c>
      <c r="AP49" s="179" t="s">
        <v>784</v>
      </c>
      <c r="AQ49" s="210" t="s">
        <v>913</v>
      </c>
      <c r="AR49" s="210" t="s">
        <v>920</v>
      </c>
    </row>
    <row r="50" spans="2:44" s="59" customFormat="1" ht="207.75" customHeight="1" thickBot="1" x14ac:dyDescent="0.25">
      <c r="B50" s="24">
        <v>40</v>
      </c>
      <c r="C50" s="25" t="s">
        <v>165</v>
      </c>
      <c r="D50" s="25" t="s">
        <v>187</v>
      </c>
      <c r="E50" s="26" t="s">
        <v>188</v>
      </c>
      <c r="F50" s="25" t="s">
        <v>214</v>
      </c>
      <c r="G50" s="25" t="s">
        <v>190</v>
      </c>
      <c r="H50" s="219" t="s">
        <v>219</v>
      </c>
      <c r="I50" s="25" t="s">
        <v>356</v>
      </c>
      <c r="J50" s="25" t="s">
        <v>220</v>
      </c>
      <c r="K50" s="25" t="s">
        <v>357</v>
      </c>
      <c r="L50" s="25" t="s">
        <v>57</v>
      </c>
      <c r="M50" s="25" t="s">
        <v>63</v>
      </c>
      <c r="N50" s="25" t="s">
        <v>54</v>
      </c>
      <c r="O50" s="25" t="s">
        <v>54</v>
      </c>
      <c r="P50" s="27">
        <v>2</v>
      </c>
      <c r="Q50" s="28">
        <v>0.5</v>
      </c>
      <c r="R50" s="25" t="s">
        <v>177</v>
      </c>
      <c r="S50" s="29">
        <v>45658</v>
      </c>
      <c r="T50" s="29">
        <v>46022</v>
      </c>
      <c r="U50" s="174">
        <v>0.5</v>
      </c>
      <c r="V50" s="71">
        <v>1</v>
      </c>
      <c r="W50" s="72">
        <f>IFERROR((U50/V50)*$Q$50,0)</f>
        <v>0.25</v>
      </c>
      <c r="X50" s="157" t="s">
        <v>265</v>
      </c>
      <c r="Y50" s="155" t="s">
        <v>265</v>
      </c>
      <c r="Z50" s="156" t="s">
        <v>54</v>
      </c>
      <c r="AA50" s="186">
        <v>0</v>
      </c>
      <c r="AB50" s="184">
        <v>1</v>
      </c>
      <c r="AC50" s="181">
        <f>IFERROR((AA50/AB50)*$Q$50,0)</f>
        <v>0</v>
      </c>
      <c r="AD50" s="221" t="s">
        <v>172</v>
      </c>
      <c r="AE50" s="220" t="s">
        <v>172</v>
      </c>
      <c r="AF50" s="214" t="s">
        <v>54</v>
      </c>
      <c r="AG50" s="31">
        <f>W50+AC50</f>
        <v>0.25</v>
      </c>
      <c r="AH50" s="247"/>
      <c r="AI50" s="30" t="s">
        <v>194</v>
      </c>
      <c r="AJ50" s="56" t="s">
        <v>195</v>
      </c>
      <c r="AK50" s="90" t="s">
        <v>475</v>
      </c>
      <c r="AL50" s="70" t="s">
        <v>533</v>
      </c>
      <c r="AM50" s="150" t="s">
        <v>670</v>
      </c>
      <c r="AN50" s="151" t="s">
        <v>673</v>
      </c>
      <c r="AO50" s="178" t="s">
        <v>773</v>
      </c>
      <c r="AP50" s="179" t="s">
        <v>785</v>
      </c>
      <c r="AQ50" s="210" t="s">
        <v>836</v>
      </c>
      <c r="AR50" s="210" t="s">
        <v>914</v>
      </c>
    </row>
    <row r="51" spans="2:44" s="59" customFormat="1" ht="277.5" customHeight="1" thickBot="1" x14ac:dyDescent="0.25">
      <c r="B51" s="24">
        <v>41</v>
      </c>
      <c r="C51" s="25" t="s">
        <v>221</v>
      </c>
      <c r="D51" s="25" t="s">
        <v>222</v>
      </c>
      <c r="E51" s="26" t="s">
        <v>223</v>
      </c>
      <c r="F51" s="25" t="s">
        <v>224</v>
      </c>
      <c r="G51" s="25" t="s">
        <v>225</v>
      </c>
      <c r="H51" s="219" t="s">
        <v>226</v>
      </c>
      <c r="I51" s="25" t="s">
        <v>227</v>
      </c>
      <c r="J51" s="25" t="s">
        <v>228</v>
      </c>
      <c r="K51" s="25" t="s">
        <v>372</v>
      </c>
      <c r="L51" s="25" t="s">
        <v>51</v>
      </c>
      <c r="M51" s="25" t="s">
        <v>83</v>
      </c>
      <c r="N51" s="25" t="s">
        <v>54</v>
      </c>
      <c r="O51" s="25" t="s">
        <v>54</v>
      </c>
      <c r="P51" s="32">
        <v>1</v>
      </c>
      <c r="Q51" s="28">
        <v>0.25</v>
      </c>
      <c r="R51" s="25" t="s">
        <v>64</v>
      </c>
      <c r="S51" s="29">
        <v>45658</v>
      </c>
      <c r="T51" s="29">
        <v>46022</v>
      </c>
      <c r="U51" s="86">
        <f>2537911611+3083227630+4457528227</f>
        <v>10078667468</v>
      </c>
      <c r="V51" s="86">
        <f>2807722021+4593000000+4423000000</f>
        <v>11823722021</v>
      </c>
      <c r="W51" s="72">
        <f>IFERROR((U51/V51)*$Q$51,0)</f>
        <v>0.21310268141663374</v>
      </c>
      <c r="X51" s="168">
        <f>3248901103+3950371914+7520747986-4500000000</f>
        <v>10220021003</v>
      </c>
      <c r="Y51" s="168">
        <f>4356610882+4320000000+4291000000</f>
        <v>12967610882</v>
      </c>
      <c r="Z51" s="156">
        <f>IFERROR((X51/Y51)*$Q$51,0)</f>
        <v>0.19702975929795485</v>
      </c>
      <c r="AA51" s="206">
        <v>11799944625</v>
      </c>
      <c r="AB51" s="206">
        <v>12812317967</v>
      </c>
      <c r="AC51" s="181">
        <f>IFERROR((AA51/AB51)*$Q$51,0)</f>
        <v>0.23024609316191816</v>
      </c>
      <c r="AD51" s="235">
        <v>13888531107</v>
      </c>
      <c r="AE51" s="235">
        <v>13178350000</v>
      </c>
      <c r="AF51" s="214">
        <f>IFERROR((AD51/AE51)*$Q$51,0)</f>
        <v>0.26347249668964628</v>
      </c>
      <c r="AG51" s="31">
        <f t="shared" ref="AG51:AG58" si="3">+W51+Z51+AC51+AF51</f>
        <v>0.90385103056615312</v>
      </c>
      <c r="AH51" s="273">
        <f>+(AG51+AG52+AG53+AG54+AG55+AG56+AG57)/7</f>
        <v>0.83965170645001663</v>
      </c>
      <c r="AI51" s="30" t="s">
        <v>134</v>
      </c>
      <c r="AJ51" s="56" t="s">
        <v>229</v>
      </c>
      <c r="AK51" s="90" t="s">
        <v>476</v>
      </c>
      <c r="AL51" s="70" t="s">
        <v>495</v>
      </c>
      <c r="AM51" s="150" t="s">
        <v>652</v>
      </c>
      <c r="AN51" s="151" t="s">
        <v>674</v>
      </c>
      <c r="AO51" s="178" t="s">
        <v>731</v>
      </c>
      <c r="AP51" s="179" t="s">
        <v>777</v>
      </c>
      <c r="AQ51" s="210" t="s">
        <v>881</v>
      </c>
      <c r="AR51" s="210" t="s">
        <v>926</v>
      </c>
    </row>
    <row r="52" spans="2:44" s="59" customFormat="1" ht="188.25" customHeight="1" thickBot="1" x14ac:dyDescent="0.25">
      <c r="B52" s="24">
        <v>42</v>
      </c>
      <c r="C52" s="25" t="s">
        <v>221</v>
      </c>
      <c r="D52" s="25" t="s">
        <v>222</v>
      </c>
      <c r="E52" s="26" t="s">
        <v>223</v>
      </c>
      <c r="F52" s="25" t="s">
        <v>224</v>
      </c>
      <c r="G52" s="25" t="s">
        <v>225</v>
      </c>
      <c r="H52" s="219" t="s">
        <v>226</v>
      </c>
      <c r="I52" s="25" t="s">
        <v>230</v>
      </c>
      <c r="J52" s="25" t="s">
        <v>231</v>
      </c>
      <c r="K52" s="25" t="s">
        <v>373</v>
      </c>
      <c r="L52" s="25" t="s">
        <v>51</v>
      </c>
      <c r="M52" s="25" t="s">
        <v>83</v>
      </c>
      <c r="N52" s="25" t="s">
        <v>54</v>
      </c>
      <c r="O52" s="25" t="s">
        <v>54</v>
      </c>
      <c r="P52" s="32">
        <v>1</v>
      </c>
      <c r="Q52" s="28">
        <v>0.25</v>
      </c>
      <c r="R52" s="25" t="s">
        <v>64</v>
      </c>
      <c r="S52" s="29">
        <v>45658</v>
      </c>
      <c r="T52" s="29">
        <v>46022</v>
      </c>
      <c r="U52" s="86">
        <f>2000917169+3803257655+5664178909</f>
        <v>11468353733</v>
      </c>
      <c r="V52" s="86">
        <f>2807722021+4593000000+4423000000</f>
        <v>11823722021</v>
      </c>
      <c r="W52" s="72">
        <f>+IFERROR((U52/V52)*$Q$52,0)</f>
        <v>0.24248611631411762</v>
      </c>
      <c r="X52" s="168">
        <f>3750181666+3895002918+4399569013</f>
        <v>12044753597</v>
      </c>
      <c r="Y52" s="168">
        <f>4356610882+4320000000+4291000000</f>
        <v>12967610882</v>
      </c>
      <c r="Z52" s="156">
        <f>+IFERROR((X52/Y52)*$Q$52,0)</f>
        <v>0.23220841731376685</v>
      </c>
      <c r="AA52" s="206">
        <v>17528905095</v>
      </c>
      <c r="AB52" s="206">
        <v>12812317697</v>
      </c>
      <c r="AC52" s="181">
        <f>+IFERROR((AA52/AB52)*$Q$52,0)</f>
        <v>0.34203228310332151</v>
      </c>
      <c r="AD52" s="235">
        <v>10863559485</v>
      </c>
      <c r="AE52" s="235">
        <v>13178350000</v>
      </c>
      <c r="AF52" s="214">
        <f>+IFERROR((AD52/AE52)*$Q$52,0)</f>
        <v>0.20608724698084357</v>
      </c>
      <c r="AG52" s="31">
        <f t="shared" si="3"/>
        <v>1.0228140637120497</v>
      </c>
      <c r="AH52" s="273"/>
      <c r="AI52" s="30" t="s">
        <v>134</v>
      </c>
      <c r="AJ52" s="56" t="s">
        <v>229</v>
      </c>
      <c r="AK52" s="90" t="s">
        <v>477</v>
      </c>
      <c r="AL52" s="70" t="s">
        <v>496</v>
      </c>
      <c r="AM52" s="150" t="s">
        <v>653</v>
      </c>
      <c r="AN52" s="151" t="s">
        <v>675</v>
      </c>
      <c r="AO52" s="178" t="s">
        <v>732</v>
      </c>
      <c r="AP52" s="179" t="s">
        <v>778</v>
      </c>
      <c r="AQ52" s="210" t="s">
        <v>882</v>
      </c>
      <c r="AR52" s="210" t="s">
        <v>927</v>
      </c>
    </row>
    <row r="53" spans="2:44" s="59" customFormat="1" ht="187.5" customHeight="1" thickBot="1" x14ac:dyDescent="0.25">
      <c r="B53" s="24">
        <v>43</v>
      </c>
      <c r="C53" s="25" t="s">
        <v>221</v>
      </c>
      <c r="D53" s="25" t="s">
        <v>222</v>
      </c>
      <c r="E53" s="26" t="s">
        <v>223</v>
      </c>
      <c r="F53" s="25" t="s">
        <v>224</v>
      </c>
      <c r="G53" s="25" t="s">
        <v>225</v>
      </c>
      <c r="H53" s="219" t="s">
        <v>232</v>
      </c>
      <c r="I53" s="25" t="s">
        <v>233</v>
      </c>
      <c r="J53" s="25" t="s">
        <v>234</v>
      </c>
      <c r="K53" s="25" t="s">
        <v>235</v>
      </c>
      <c r="L53" s="25" t="s">
        <v>51</v>
      </c>
      <c r="M53" s="25" t="s">
        <v>52</v>
      </c>
      <c r="N53" s="25" t="s">
        <v>54</v>
      </c>
      <c r="O53" s="25" t="s">
        <v>236</v>
      </c>
      <c r="P53" s="32">
        <v>1</v>
      </c>
      <c r="Q53" s="28">
        <v>0.25</v>
      </c>
      <c r="R53" s="25" t="s">
        <v>64</v>
      </c>
      <c r="S53" s="29">
        <v>45658</v>
      </c>
      <c r="T53" s="29">
        <v>46022</v>
      </c>
      <c r="U53" s="73">
        <v>4</v>
      </c>
      <c r="V53" s="71">
        <v>4</v>
      </c>
      <c r="W53" s="72">
        <f>+IFERROR((U53/V53)*$Q$53,0)</f>
        <v>0.25</v>
      </c>
      <c r="X53" s="157">
        <v>8</v>
      </c>
      <c r="Y53" s="155">
        <v>8</v>
      </c>
      <c r="Z53" s="156">
        <f>+IFERROR((X53/Y53)*$Q$53,0)</f>
        <v>0.25</v>
      </c>
      <c r="AA53" s="186">
        <v>6</v>
      </c>
      <c r="AB53" s="184">
        <v>6</v>
      </c>
      <c r="AC53" s="181">
        <f>+IFERROR((AA53/AB53)*$Q$53,0)</f>
        <v>0.25</v>
      </c>
      <c r="AD53" s="221">
        <v>6</v>
      </c>
      <c r="AE53" s="220">
        <v>6</v>
      </c>
      <c r="AF53" s="214">
        <f>+IFERROR((AD53/AE53)*$Q$53,0)</f>
        <v>0.25</v>
      </c>
      <c r="AG53" s="31">
        <f t="shared" si="3"/>
        <v>1</v>
      </c>
      <c r="AH53" s="273"/>
      <c r="AI53" s="30" t="s">
        <v>134</v>
      </c>
      <c r="AJ53" s="56" t="s">
        <v>229</v>
      </c>
      <c r="AK53" s="90" t="s">
        <v>478</v>
      </c>
      <c r="AL53" s="70" t="s">
        <v>497</v>
      </c>
      <c r="AM53" s="150" t="s">
        <v>654</v>
      </c>
      <c r="AN53" s="151" t="s">
        <v>703</v>
      </c>
      <c r="AO53" s="178" t="s">
        <v>733</v>
      </c>
      <c r="AP53" s="179" t="s">
        <v>786</v>
      </c>
      <c r="AQ53" s="210" t="s">
        <v>837</v>
      </c>
      <c r="AR53" s="210" t="s">
        <v>786</v>
      </c>
    </row>
    <row r="54" spans="2:44" s="59" customFormat="1" ht="189" customHeight="1" thickBot="1" x14ac:dyDescent="0.25">
      <c r="B54" s="24">
        <v>44</v>
      </c>
      <c r="C54" s="25" t="s">
        <v>221</v>
      </c>
      <c r="D54" s="25" t="s">
        <v>222</v>
      </c>
      <c r="E54" s="26" t="s">
        <v>223</v>
      </c>
      <c r="F54" s="25" t="s">
        <v>224</v>
      </c>
      <c r="G54" s="25" t="s">
        <v>225</v>
      </c>
      <c r="H54" s="219" t="s">
        <v>374</v>
      </c>
      <c r="I54" s="25" t="s">
        <v>375</v>
      </c>
      <c r="J54" s="25" t="s">
        <v>376</v>
      </c>
      <c r="K54" s="25" t="s">
        <v>377</v>
      </c>
      <c r="L54" s="25" t="s">
        <v>237</v>
      </c>
      <c r="M54" s="25" t="s">
        <v>83</v>
      </c>
      <c r="N54" s="25" t="s">
        <v>54</v>
      </c>
      <c r="O54" s="25" t="s">
        <v>54</v>
      </c>
      <c r="P54" s="32">
        <v>1</v>
      </c>
      <c r="Q54" s="28">
        <v>0.25</v>
      </c>
      <c r="R54" s="25" t="s">
        <v>64</v>
      </c>
      <c r="S54" s="29">
        <v>45658</v>
      </c>
      <c r="T54" s="29">
        <v>46022</v>
      </c>
      <c r="U54" s="73">
        <v>16</v>
      </c>
      <c r="V54" s="71">
        <v>17</v>
      </c>
      <c r="W54" s="72">
        <f>+IFERROR((U54/V54)*$Q$54,0)</f>
        <v>0.23529411764705882</v>
      </c>
      <c r="X54" s="157">
        <v>16</v>
      </c>
      <c r="Y54" s="155">
        <v>17</v>
      </c>
      <c r="Z54" s="156">
        <f>+IFERROR((X54/Y54)*$Q$54,0)</f>
        <v>0.23529411764705882</v>
      </c>
      <c r="AA54" s="186">
        <v>12</v>
      </c>
      <c r="AB54" s="184">
        <v>17</v>
      </c>
      <c r="AC54" s="181">
        <f>+IFERROR((AA54/AB54)*$Q$54,0)</f>
        <v>0.17647058823529413</v>
      </c>
      <c r="AD54" s="221">
        <v>0</v>
      </c>
      <c r="AE54" s="220">
        <v>17</v>
      </c>
      <c r="AF54" s="214">
        <f>+IFERROR((AD54/AE54)*$Q$54,0)</f>
        <v>0</v>
      </c>
      <c r="AG54" s="31">
        <f t="shared" si="3"/>
        <v>0.6470588235294118</v>
      </c>
      <c r="AH54" s="273"/>
      <c r="AI54" s="30" t="s">
        <v>134</v>
      </c>
      <c r="AJ54" s="56" t="s">
        <v>229</v>
      </c>
      <c r="AK54" s="90" t="s">
        <v>479</v>
      </c>
      <c r="AL54" s="70" t="s">
        <v>498</v>
      </c>
      <c r="AM54" s="150" t="s">
        <v>655</v>
      </c>
      <c r="AN54" s="151" t="s">
        <v>676</v>
      </c>
      <c r="AO54" s="179" t="s">
        <v>734</v>
      </c>
      <c r="AP54" s="179" t="s">
        <v>816</v>
      </c>
      <c r="AQ54" s="211" t="s">
        <v>838</v>
      </c>
      <c r="AR54" s="210" t="s">
        <v>879</v>
      </c>
    </row>
    <row r="55" spans="2:44" s="59" customFormat="1" ht="189" customHeight="1" thickBot="1" x14ac:dyDescent="0.25">
      <c r="B55" s="24">
        <v>45</v>
      </c>
      <c r="C55" s="25" t="s">
        <v>221</v>
      </c>
      <c r="D55" s="25" t="s">
        <v>222</v>
      </c>
      <c r="E55" s="26" t="s">
        <v>223</v>
      </c>
      <c r="F55" s="25" t="s">
        <v>238</v>
      </c>
      <c r="G55" s="25" t="s">
        <v>239</v>
      </c>
      <c r="H55" s="219" t="s">
        <v>240</v>
      </c>
      <c r="I55" s="25" t="s">
        <v>241</v>
      </c>
      <c r="J55" s="25" t="s">
        <v>242</v>
      </c>
      <c r="K55" s="25" t="s">
        <v>243</v>
      </c>
      <c r="L55" s="25" t="s">
        <v>237</v>
      </c>
      <c r="M55" s="25" t="s">
        <v>83</v>
      </c>
      <c r="N55" s="25" t="s">
        <v>378</v>
      </c>
      <c r="O55" s="25" t="s">
        <v>244</v>
      </c>
      <c r="P55" s="32">
        <v>0.95</v>
      </c>
      <c r="Q55" s="28">
        <v>0.25</v>
      </c>
      <c r="R55" s="25" t="s">
        <v>64</v>
      </c>
      <c r="S55" s="29">
        <v>45658</v>
      </c>
      <c r="T55" s="29">
        <v>46022</v>
      </c>
      <c r="U55" s="86">
        <f>2530698623+3060049949+3828927555</f>
        <v>9419676127</v>
      </c>
      <c r="V55" s="86">
        <f>2807722021+4593000000+4423000000</f>
        <v>11823722021</v>
      </c>
      <c r="W55" s="72">
        <f>IFERROR((U55/V55)*$Q$55,0)</f>
        <v>0.19916901188707337</v>
      </c>
      <c r="X55" s="168">
        <f>3161035904+3539528703+2912627767</f>
        <v>9613192374</v>
      </c>
      <c r="Y55" s="168">
        <f>4356610882+4320000000+4291000000</f>
        <v>12967610882</v>
      </c>
      <c r="Z55" s="156">
        <f>IFERROR((X55/Y55)*$Q$55,0)</f>
        <v>0.1853308304335346</v>
      </c>
      <c r="AA55" s="206">
        <f>3500483325.19+3457226140+3384267504.2</f>
        <v>10341976969.389999</v>
      </c>
      <c r="AB55" s="206">
        <v>12812317697</v>
      </c>
      <c r="AC55" s="181">
        <f>IFERROR((AA55/AB55)*$Q$55,0)</f>
        <v>0.20179754385523022</v>
      </c>
      <c r="AD55" s="235">
        <v>12000878345</v>
      </c>
      <c r="AE55" s="235">
        <v>13178350000</v>
      </c>
      <c r="AF55" s="214">
        <f>IFERROR((AD55/AE55)*$Q$55,0)</f>
        <v>0.22766276402205132</v>
      </c>
      <c r="AG55" s="31">
        <f t="shared" si="3"/>
        <v>0.81396015019788948</v>
      </c>
      <c r="AH55" s="273"/>
      <c r="AI55" s="30" t="s">
        <v>134</v>
      </c>
      <c r="AJ55" s="56" t="s">
        <v>229</v>
      </c>
      <c r="AK55" s="90" t="s">
        <v>480</v>
      </c>
      <c r="AL55" s="70" t="s">
        <v>499</v>
      </c>
      <c r="AM55" s="150" t="s">
        <v>656</v>
      </c>
      <c r="AN55" s="151" t="s">
        <v>677</v>
      </c>
      <c r="AO55" s="205" t="s">
        <v>774</v>
      </c>
      <c r="AP55" s="179" t="s">
        <v>787</v>
      </c>
      <c r="AQ55" s="217" t="s">
        <v>839</v>
      </c>
      <c r="AR55" s="210" t="s">
        <v>870</v>
      </c>
    </row>
    <row r="56" spans="2:44" s="59" customFormat="1" ht="198.75" customHeight="1" thickBot="1" x14ac:dyDescent="0.25">
      <c r="B56" s="24">
        <v>46</v>
      </c>
      <c r="C56" s="25" t="s">
        <v>221</v>
      </c>
      <c r="D56" s="25" t="s">
        <v>222</v>
      </c>
      <c r="E56" s="26" t="s">
        <v>223</v>
      </c>
      <c r="F56" s="25" t="s">
        <v>238</v>
      </c>
      <c r="G56" s="25" t="s">
        <v>239</v>
      </c>
      <c r="H56" s="219" t="s">
        <v>245</v>
      </c>
      <c r="I56" s="25" t="s">
        <v>246</v>
      </c>
      <c r="J56" s="25" t="s">
        <v>247</v>
      </c>
      <c r="K56" s="25" t="s">
        <v>248</v>
      </c>
      <c r="L56" s="25" t="s">
        <v>237</v>
      </c>
      <c r="M56" s="25" t="s">
        <v>83</v>
      </c>
      <c r="N56" s="25" t="s">
        <v>378</v>
      </c>
      <c r="O56" s="25" t="s">
        <v>244</v>
      </c>
      <c r="P56" s="32">
        <v>0.95</v>
      </c>
      <c r="Q56" s="28">
        <v>0.25</v>
      </c>
      <c r="R56" s="25" t="s">
        <v>64</v>
      </c>
      <c r="S56" s="29">
        <v>45658</v>
      </c>
      <c r="T56" s="29">
        <v>46022</v>
      </c>
      <c r="U56" s="86">
        <f>692176638+2471714992+2192282421</f>
        <v>5356174051</v>
      </c>
      <c r="V56" s="86">
        <f>2807722021+4593000000+4423000000</f>
        <v>11823722021</v>
      </c>
      <c r="W56" s="72">
        <f>+IFERROR((U56/V56)*$Q$55,0)</f>
        <v>0.11325059151185536</v>
      </c>
      <c r="X56" s="168">
        <f>7318370609+1256097056+2984317970</f>
        <v>11558785635</v>
      </c>
      <c r="Y56" s="168">
        <f>4356610882+4320000000+4291000000</f>
        <v>12967610882</v>
      </c>
      <c r="Z56" s="156">
        <f>+IFERROR((X56/Y56)*$Q$55,0)</f>
        <v>0.2228395372937286</v>
      </c>
      <c r="AA56" s="206">
        <f>5401237950.84+4473693169.1+5588983874.17</f>
        <v>15463914994.110001</v>
      </c>
      <c r="AB56" s="206">
        <v>12812317697</v>
      </c>
      <c r="AC56" s="181">
        <f>+IFERROR((AA56/AB56)*$Q$55,0)</f>
        <v>0.30173922001892894</v>
      </c>
      <c r="AD56" s="235">
        <v>15977185176</v>
      </c>
      <c r="AE56" s="235">
        <v>13178350000</v>
      </c>
      <c r="AF56" s="214">
        <f>+IFERROR((AD56/AE56)*$Q$55,0)</f>
        <v>0.3030953263496568</v>
      </c>
      <c r="AG56" s="31">
        <f>+W56+Z56+AC56+AF56</f>
        <v>0.94092467517416978</v>
      </c>
      <c r="AH56" s="273"/>
      <c r="AI56" s="30" t="s">
        <v>134</v>
      </c>
      <c r="AJ56" s="56" t="s">
        <v>229</v>
      </c>
      <c r="AK56" s="90" t="s">
        <v>481</v>
      </c>
      <c r="AL56" s="70" t="s">
        <v>500</v>
      </c>
      <c r="AM56" s="150" t="s">
        <v>657</v>
      </c>
      <c r="AN56" s="151" t="s">
        <v>678</v>
      </c>
      <c r="AO56" s="205" t="s">
        <v>775</v>
      </c>
      <c r="AP56" s="179" t="s">
        <v>788</v>
      </c>
      <c r="AQ56" s="217" t="s">
        <v>840</v>
      </c>
      <c r="AR56" s="210" t="s">
        <v>931</v>
      </c>
    </row>
    <row r="57" spans="2:44" s="59" customFormat="1" ht="208.5" customHeight="1" thickBot="1" x14ac:dyDescent="0.25">
      <c r="B57" s="24">
        <v>47</v>
      </c>
      <c r="C57" s="25" t="s">
        <v>221</v>
      </c>
      <c r="D57" s="25" t="s">
        <v>222</v>
      </c>
      <c r="E57" s="26" t="s">
        <v>223</v>
      </c>
      <c r="F57" s="25" t="s">
        <v>238</v>
      </c>
      <c r="G57" s="25" t="s">
        <v>239</v>
      </c>
      <c r="H57" s="219" t="s">
        <v>371</v>
      </c>
      <c r="I57" s="25" t="s">
        <v>367</v>
      </c>
      <c r="J57" s="25" t="s">
        <v>368</v>
      </c>
      <c r="K57" s="25" t="s">
        <v>379</v>
      </c>
      <c r="L57" s="25" t="s">
        <v>237</v>
      </c>
      <c r="M57" s="25" t="s">
        <v>83</v>
      </c>
      <c r="N57" s="25" t="s">
        <v>54</v>
      </c>
      <c r="O57" s="25" t="s">
        <v>369</v>
      </c>
      <c r="P57" s="32">
        <v>0.75</v>
      </c>
      <c r="Q57" s="28">
        <v>0.25</v>
      </c>
      <c r="R57" s="25" t="s">
        <v>64</v>
      </c>
      <c r="S57" s="29">
        <v>45658</v>
      </c>
      <c r="T57" s="29" t="s">
        <v>370</v>
      </c>
      <c r="U57" s="86">
        <v>39</v>
      </c>
      <c r="V57" s="86">
        <v>42</v>
      </c>
      <c r="W57" s="72">
        <f>+IFERROR((U57/V57)*$Q$57,0)</f>
        <v>0.23214285714285715</v>
      </c>
      <c r="X57" s="168">
        <v>9</v>
      </c>
      <c r="Y57" s="168">
        <v>12</v>
      </c>
      <c r="Z57" s="156">
        <f>+IFERROR((X57/Y57)*$Q$57,0)</f>
        <v>0.1875</v>
      </c>
      <c r="AA57" s="186">
        <v>15</v>
      </c>
      <c r="AB57" s="184">
        <v>29</v>
      </c>
      <c r="AC57" s="181">
        <f>+IFERROR((AA57/AB57)*$Q$57,0)</f>
        <v>0.12931034482758622</v>
      </c>
      <c r="AD57" s="221">
        <v>0</v>
      </c>
      <c r="AE57" s="220">
        <v>52</v>
      </c>
      <c r="AF57" s="214">
        <f>+IFERROR((AD57/AE57)*$Q$57,0)</f>
        <v>0</v>
      </c>
      <c r="AG57" s="31">
        <f t="shared" si="3"/>
        <v>0.54895320197044339</v>
      </c>
      <c r="AH57" s="273"/>
      <c r="AI57" s="30" t="s">
        <v>134</v>
      </c>
      <c r="AJ57" s="56" t="s">
        <v>229</v>
      </c>
      <c r="AK57" s="90" t="s">
        <v>482</v>
      </c>
      <c r="AL57" s="70" t="s">
        <v>501</v>
      </c>
      <c r="AM57" s="150" t="s">
        <v>658</v>
      </c>
      <c r="AN57" s="151" t="s">
        <v>679</v>
      </c>
      <c r="AO57" s="205" t="s">
        <v>776</v>
      </c>
      <c r="AP57" s="179" t="s">
        <v>817</v>
      </c>
      <c r="AQ57" s="217" t="s">
        <v>841</v>
      </c>
      <c r="AR57" s="210" t="s">
        <v>915</v>
      </c>
    </row>
    <row r="58" spans="2:44" s="44" customFormat="1" ht="270" customHeight="1" thickBot="1" x14ac:dyDescent="0.25">
      <c r="B58" s="24">
        <v>48</v>
      </c>
      <c r="C58" s="37" t="s">
        <v>165</v>
      </c>
      <c r="D58" s="37" t="s">
        <v>166</v>
      </c>
      <c r="E58" s="38" t="s">
        <v>249</v>
      </c>
      <c r="F58" s="37" t="s">
        <v>250</v>
      </c>
      <c r="G58" s="37" t="s">
        <v>251</v>
      </c>
      <c r="H58" s="218" t="s">
        <v>308</v>
      </c>
      <c r="I58" s="37" t="s">
        <v>309</v>
      </c>
      <c r="J58" s="37" t="s">
        <v>405</v>
      </c>
      <c r="K58" s="37" t="s">
        <v>406</v>
      </c>
      <c r="L58" s="37" t="s">
        <v>57</v>
      </c>
      <c r="M58" s="37" t="s">
        <v>52</v>
      </c>
      <c r="N58" s="37" t="s">
        <v>407</v>
      </c>
      <c r="O58" s="37" t="s">
        <v>252</v>
      </c>
      <c r="P58" s="39">
        <v>6000</v>
      </c>
      <c r="Q58" s="40">
        <v>0.25</v>
      </c>
      <c r="R58" s="37" t="s">
        <v>256</v>
      </c>
      <c r="S58" s="41">
        <v>45658</v>
      </c>
      <c r="T58" s="41">
        <v>46022</v>
      </c>
      <c r="U58" s="77">
        <v>1202</v>
      </c>
      <c r="V58" s="76">
        <v>1800</v>
      </c>
      <c r="W58" s="75">
        <f>IFERROR((U58/V58)*$Q$58,0)</f>
        <v>0.16694444444444445</v>
      </c>
      <c r="X58" s="161">
        <v>2047</v>
      </c>
      <c r="Y58" s="160">
        <v>1544</v>
      </c>
      <c r="Z58" s="159">
        <f>IFERROR((X58/Y58)*$Q$58,0)</f>
        <v>0.33144430051813473</v>
      </c>
      <c r="AA58" s="190">
        <v>1840</v>
      </c>
      <c r="AB58" s="189">
        <v>1997</v>
      </c>
      <c r="AC58" s="188">
        <f>IFERROR((AA58/AB58)*$Q$58,0)</f>
        <v>0.23034551827741612</v>
      </c>
      <c r="AD58" s="226">
        <v>1583</v>
      </c>
      <c r="AE58" s="225">
        <v>1997</v>
      </c>
      <c r="AF58" s="224">
        <f>IFERROR((AD58/AE58)*$Q$58,0)</f>
        <v>0.19817225838758137</v>
      </c>
      <c r="AG58" s="43">
        <f t="shared" si="3"/>
        <v>0.9269065216275767</v>
      </c>
      <c r="AH58" s="275">
        <f>+(AG58+AG59+AG60)/3</f>
        <v>0.64761058348900147</v>
      </c>
      <c r="AI58" s="42" t="s">
        <v>77</v>
      </c>
      <c r="AJ58" s="57" t="s">
        <v>253</v>
      </c>
      <c r="AK58" s="90" t="s">
        <v>591</v>
      </c>
      <c r="AL58" s="70" t="s">
        <v>595</v>
      </c>
      <c r="AM58" s="150" t="s">
        <v>680</v>
      </c>
      <c r="AN58" s="151" t="s">
        <v>707</v>
      </c>
      <c r="AO58" s="205" t="s">
        <v>805</v>
      </c>
      <c r="AP58" s="179" t="s">
        <v>922</v>
      </c>
      <c r="AQ58" s="217" t="s">
        <v>861</v>
      </c>
      <c r="AR58" s="210" t="s">
        <v>923</v>
      </c>
    </row>
    <row r="59" spans="2:44" s="44" customFormat="1" ht="273.75" customHeight="1" thickBot="1" x14ac:dyDescent="0.25">
      <c r="B59" s="24">
        <v>49</v>
      </c>
      <c r="C59" s="37" t="s">
        <v>165</v>
      </c>
      <c r="D59" s="37" t="s">
        <v>166</v>
      </c>
      <c r="E59" s="38" t="s">
        <v>254</v>
      </c>
      <c r="F59" s="37" t="s">
        <v>250</v>
      </c>
      <c r="G59" s="37" t="s">
        <v>251</v>
      </c>
      <c r="H59" s="218" t="s">
        <v>310</v>
      </c>
      <c r="I59" s="37" t="s">
        <v>311</v>
      </c>
      <c r="J59" s="37" t="s">
        <v>408</v>
      </c>
      <c r="K59" s="37" t="s">
        <v>409</v>
      </c>
      <c r="L59" s="37" t="s">
        <v>57</v>
      </c>
      <c r="M59" s="37" t="s">
        <v>52</v>
      </c>
      <c r="N59" s="37" t="s">
        <v>255</v>
      </c>
      <c r="O59" s="37" t="s">
        <v>54</v>
      </c>
      <c r="P59" s="39">
        <v>2</v>
      </c>
      <c r="Q59" s="40">
        <v>0.5</v>
      </c>
      <c r="R59" s="37" t="s">
        <v>101</v>
      </c>
      <c r="S59" s="41">
        <v>45658</v>
      </c>
      <c r="T59" s="41">
        <v>46022</v>
      </c>
      <c r="U59" s="77" t="s">
        <v>172</v>
      </c>
      <c r="V59" s="76" t="s">
        <v>172</v>
      </c>
      <c r="W59" s="75" t="s">
        <v>54</v>
      </c>
      <c r="X59" s="236">
        <v>1</v>
      </c>
      <c r="Y59" s="160">
        <v>1</v>
      </c>
      <c r="Z59" s="159">
        <f>+(X59/Y59)*$Q$59</f>
        <v>0.5</v>
      </c>
      <c r="AA59" s="190" t="s">
        <v>172</v>
      </c>
      <c r="AB59" s="189" t="s">
        <v>172</v>
      </c>
      <c r="AC59" s="188" t="s">
        <v>54</v>
      </c>
      <c r="AD59" s="237">
        <v>1</v>
      </c>
      <c r="AE59" s="225">
        <v>1</v>
      </c>
      <c r="AF59" s="224">
        <f>+(AD59/AE59)*$Q$59</f>
        <v>0.5</v>
      </c>
      <c r="AG59" s="43">
        <f>+Z59+AF59</f>
        <v>1</v>
      </c>
      <c r="AH59" s="276"/>
      <c r="AI59" s="42" t="s">
        <v>77</v>
      </c>
      <c r="AJ59" s="57" t="s">
        <v>253</v>
      </c>
      <c r="AK59" s="90" t="s">
        <v>592</v>
      </c>
      <c r="AL59" s="70" t="s">
        <v>596</v>
      </c>
      <c r="AM59" s="150" t="s">
        <v>681</v>
      </c>
      <c r="AN59" s="151" t="s">
        <v>706</v>
      </c>
      <c r="AO59" s="205" t="s">
        <v>806</v>
      </c>
      <c r="AP59" s="179" t="s">
        <v>924</v>
      </c>
      <c r="AQ59" s="217" t="s">
        <v>862</v>
      </c>
      <c r="AR59" s="210" t="s">
        <v>925</v>
      </c>
    </row>
    <row r="60" spans="2:44" s="44" customFormat="1" ht="171.75" customHeight="1" thickBot="1" x14ac:dyDescent="0.25">
      <c r="B60" s="24">
        <v>50</v>
      </c>
      <c r="C60" s="37" t="s">
        <v>165</v>
      </c>
      <c r="D60" s="37" t="s">
        <v>166</v>
      </c>
      <c r="E60" s="38" t="s">
        <v>254</v>
      </c>
      <c r="F60" s="37" t="s">
        <v>250</v>
      </c>
      <c r="G60" s="37" t="s">
        <v>251</v>
      </c>
      <c r="H60" s="218" t="s">
        <v>404</v>
      </c>
      <c r="I60" s="37" t="s">
        <v>410</v>
      </c>
      <c r="J60" s="37" t="s">
        <v>411</v>
      </c>
      <c r="K60" s="37" t="s">
        <v>412</v>
      </c>
      <c r="L60" s="37" t="s">
        <v>51</v>
      </c>
      <c r="M60" s="37" t="s">
        <v>52</v>
      </c>
      <c r="N60" s="37" t="s">
        <v>170</v>
      </c>
      <c r="O60" s="37" t="s">
        <v>54</v>
      </c>
      <c r="P60" s="45" t="s">
        <v>413</v>
      </c>
      <c r="Q60" s="40">
        <v>0.5</v>
      </c>
      <c r="R60" s="37" t="s">
        <v>177</v>
      </c>
      <c r="S60" s="41">
        <v>45658</v>
      </c>
      <c r="T60" s="41">
        <v>46022</v>
      </c>
      <c r="U60" s="87" t="s">
        <v>172</v>
      </c>
      <c r="V60" s="88" t="s">
        <v>172</v>
      </c>
      <c r="W60" s="75" t="s">
        <v>54</v>
      </c>
      <c r="X60" s="161">
        <v>16</v>
      </c>
      <c r="Y60" s="160">
        <v>1044</v>
      </c>
      <c r="Z60" s="159">
        <f>IF(Y60=0,0,0.5*(X60/Y60))</f>
        <v>7.6628352490421452E-3</v>
      </c>
      <c r="AA60" s="190" t="s">
        <v>265</v>
      </c>
      <c r="AB60" s="189" t="s">
        <v>172</v>
      </c>
      <c r="AC60" s="188" t="s">
        <v>54</v>
      </c>
      <c r="AD60" s="226">
        <v>33</v>
      </c>
      <c r="AE60" s="225">
        <v>1997</v>
      </c>
      <c r="AF60" s="224">
        <f>IF(AE60=0,0,0.5*(AD60/AE60))</f>
        <v>8.2623935903855788E-3</v>
      </c>
      <c r="AG60" s="43">
        <f>Z60+AF60</f>
        <v>1.5925228839427725E-2</v>
      </c>
      <c r="AH60" s="274"/>
      <c r="AI60" s="42" t="s">
        <v>77</v>
      </c>
      <c r="AJ60" s="57" t="s">
        <v>253</v>
      </c>
      <c r="AK60" s="90" t="s">
        <v>593</v>
      </c>
      <c r="AL60" s="70" t="s">
        <v>597</v>
      </c>
      <c r="AM60" s="150" t="s">
        <v>682</v>
      </c>
      <c r="AN60" s="151" t="s">
        <v>708</v>
      </c>
      <c r="AO60" s="205" t="s">
        <v>804</v>
      </c>
      <c r="AP60" s="179" t="s">
        <v>930</v>
      </c>
      <c r="AQ60" s="217" t="s">
        <v>863</v>
      </c>
      <c r="AR60" s="210" t="s">
        <v>929</v>
      </c>
    </row>
    <row r="61" spans="2:44" s="44" customFormat="1" ht="159" customHeight="1" thickBot="1" x14ac:dyDescent="0.25">
      <c r="B61" s="24">
        <v>51</v>
      </c>
      <c r="C61" s="37" t="s">
        <v>257</v>
      </c>
      <c r="D61" s="37" t="s">
        <v>45</v>
      </c>
      <c r="E61" s="38" t="s">
        <v>258</v>
      </c>
      <c r="F61" s="37" t="s">
        <v>259</v>
      </c>
      <c r="G61" s="37" t="s">
        <v>260</v>
      </c>
      <c r="H61" s="218" t="s">
        <v>261</v>
      </c>
      <c r="I61" s="37" t="s">
        <v>291</v>
      </c>
      <c r="J61" s="37" t="s">
        <v>262</v>
      </c>
      <c r="K61" s="37" t="s">
        <v>290</v>
      </c>
      <c r="L61" s="37" t="s">
        <v>57</v>
      </c>
      <c r="M61" s="37" t="s">
        <v>263</v>
      </c>
      <c r="N61" s="37" t="s">
        <v>289</v>
      </c>
      <c r="O61" s="37" t="s">
        <v>264</v>
      </c>
      <c r="P61" s="39">
        <v>11</v>
      </c>
      <c r="Q61" s="40" t="s">
        <v>85</v>
      </c>
      <c r="R61" s="37" t="s">
        <v>292</v>
      </c>
      <c r="S61" s="41">
        <v>45658</v>
      </c>
      <c r="T61" s="41">
        <v>46022</v>
      </c>
      <c r="U61" s="87">
        <v>0</v>
      </c>
      <c r="V61" s="88">
        <v>0</v>
      </c>
      <c r="W61" s="75">
        <f>+IFERROR((U61/V61)*(U61/$P$61),0)</f>
        <v>0</v>
      </c>
      <c r="X61" s="169">
        <v>11</v>
      </c>
      <c r="Y61" s="170">
        <v>11</v>
      </c>
      <c r="Z61" s="159">
        <f>+IFERROR((X61/Y61)*(X61/$P$61),0)</f>
        <v>1</v>
      </c>
      <c r="AA61" s="190">
        <v>0</v>
      </c>
      <c r="AB61" s="189">
        <v>0</v>
      </c>
      <c r="AC61" s="188">
        <f>+IFERROR((AA61/AB61)*(AA61/$P$61),0)</f>
        <v>0</v>
      </c>
      <c r="AD61" s="226">
        <v>0</v>
      </c>
      <c r="AE61" s="225">
        <v>0</v>
      </c>
      <c r="AF61" s="224">
        <f>+IFERROR((AD61/AE61)*(AD61/$P$61),0)</f>
        <v>0</v>
      </c>
      <c r="AG61" s="43">
        <f>IF(Z61+AC61+AF6+W61&gt;100%,100%,Z61+AC61+AF6+W61)</f>
        <v>1</v>
      </c>
      <c r="AH61" s="274">
        <f>+(AG61+AG62+AG63+AG64+AG65+AG66)/6</f>
        <v>0.90885774218154081</v>
      </c>
      <c r="AI61" s="42" t="s">
        <v>266</v>
      </c>
      <c r="AJ61" s="57" t="s">
        <v>266</v>
      </c>
      <c r="AK61" s="90" t="s">
        <v>502</v>
      </c>
      <c r="AL61" s="70" t="s">
        <v>508</v>
      </c>
      <c r="AM61" s="150" t="s">
        <v>683</v>
      </c>
      <c r="AN61" s="151" t="s">
        <v>688</v>
      </c>
      <c r="AO61" s="178" t="s">
        <v>789</v>
      </c>
      <c r="AP61" s="179" t="s">
        <v>792</v>
      </c>
      <c r="AQ61" s="210" t="s">
        <v>846</v>
      </c>
      <c r="AR61" s="210" t="s">
        <v>854</v>
      </c>
    </row>
    <row r="62" spans="2:44" s="44" customFormat="1" ht="201" customHeight="1" thickBot="1" x14ac:dyDescent="0.25">
      <c r="B62" s="24">
        <v>52</v>
      </c>
      <c r="C62" s="37" t="s">
        <v>257</v>
      </c>
      <c r="D62" s="37" t="s">
        <v>45</v>
      </c>
      <c r="E62" s="38" t="s">
        <v>258</v>
      </c>
      <c r="F62" s="37" t="s">
        <v>259</v>
      </c>
      <c r="G62" s="37" t="s">
        <v>260</v>
      </c>
      <c r="H62" s="218" t="s">
        <v>267</v>
      </c>
      <c r="I62" s="37" t="s">
        <v>268</v>
      </c>
      <c r="J62" s="37" t="s">
        <v>269</v>
      </c>
      <c r="K62" s="37" t="s">
        <v>293</v>
      </c>
      <c r="L62" s="37" t="s">
        <v>57</v>
      </c>
      <c r="M62" s="37" t="s">
        <v>263</v>
      </c>
      <c r="N62" s="37" t="s">
        <v>294</v>
      </c>
      <c r="O62" s="37" t="s">
        <v>295</v>
      </c>
      <c r="P62" s="39">
        <v>2</v>
      </c>
      <c r="Q62" s="40">
        <v>0.5</v>
      </c>
      <c r="R62" s="37" t="s">
        <v>270</v>
      </c>
      <c r="S62" s="41">
        <v>45658</v>
      </c>
      <c r="T62" s="41">
        <v>46022</v>
      </c>
      <c r="U62" s="77">
        <v>0</v>
      </c>
      <c r="V62" s="76">
        <v>0</v>
      </c>
      <c r="W62" s="75">
        <f>IFERROR((U62/V62)*$Q$62,0)</f>
        <v>0</v>
      </c>
      <c r="X62" s="161" t="s">
        <v>172</v>
      </c>
      <c r="Y62" s="160" t="s">
        <v>172</v>
      </c>
      <c r="Z62" s="159" t="s">
        <v>54</v>
      </c>
      <c r="AA62" s="190">
        <v>1</v>
      </c>
      <c r="AB62" s="189">
        <v>1</v>
      </c>
      <c r="AC62" s="188">
        <f>IFERROR((AA62/AB62)*$Q$62,0)</f>
        <v>0.5</v>
      </c>
      <c r="AD62" s="226">
        <v>2</v>
      </c>
      <c r="AE62" s="225">
        <v>2</v>
      </c>
      <c r="AF62" s="224">
        <f>IFERROR((AD62/AE62)*$Q$62,0)</f>
        <v>0.5</v>
      </c>
      <c r="AG62" s="43">
        <f>+W62+AC62+AF62</f>
        <v>1</v>
      </c>
      <c r="AH62" s="274"/>
      <c r="AI62" s="42" t="s">
        <v>266</v>
      </c>
      <c r="AJ62" s="57" t="s">
        <v>266</v>
      </c>
      <c r="AK62" s="90" t="s">
        <v>503</v>
      </c>
      <c r="AL62" s="70" t="s">
        <v>509</v>
      </c>
      <c r="AM62" s="150" t="s">
        <v>684</v>
      </c>
      <c r="AN62" s="151" t="s">
        <v>689</v>
      </c>
      <c r="AO62" s="178" t="s">
        <v>793</v>
      </c>
      <c r="AP62" s="179" t="s">
        <v>794</v>
      </c>
      <c r="AQ62" s="210" t="s">
        <v>847</v>
      </c>
      <c r="AR62" s="210" t="s">
        <v>916</v>
      </c>
    </row>
    <row r="63" spans="2:44" s="44" customFormat="1" ht="226.5" customHeight="1" thickBot="1" x14ac:dyDescent="0.25">
      <c r="B63" s="24">
        <v>53</v>
      </c>
      <c r="C63" s="37" t="s">
        <v>257</v>
      </c>
      <c r="D63" s="37" t="s">
        <v>45</v>
      </c>
      <c r="E63" s="38" t="s">
        <v>258</v>
      </c>
      <c r="F63" s="37" t="s">
        <v>259</v>
      </c>
      <c r="G63" s="37" t="s">
        <v>260</v>
      </c>
      <c r="H63" s="218" t="s">
        <v>296</v>
      </c>
      <c r="I63" s="37" t="s">
        <v>297</v>
      </c>
      <c r="J63" s="37" t="s">
        <v>271</v>
      </c>
      <c r="K63" s="37" t="s">
        <v>298</v>
      </c>
      <c r="L63" s="37" t="s">
        <v>57</v>
      </c>
      <c r="M63" s="37" t="s">
        <v>272</v>
      </c>
      <c r="N63" s="37" t="s">
        <v>273</v>
      </c>
      <c r="O63" s="37" t="s">
        <v>274</v>
      </c>
      <c r="P63" s="39">
        <v>9</v>
      </c>
      <c r="Q63" s="40">
        <v>0.25</v>
      </c>
      <c r="R63" s="37" t="s">
        <v>275</v>
      </c>
      <c r="S63" s="41">
        <v>45658</v>
      </c>
      <c r="T63" s="41">
        <v>46022</v>
      </c>
      <c r="U63" s="77">
        <v>9</v>
      </c>
      <c r="V63" s="76">
        <v>9</v>
      </c>
      <c r="W63" s="75">
        <f>+IFERROR((U63/V63)*($Q$63),0)</f>
        <v>0.25</v>
      </c>
      <c r="X63" s="161">
        <v>4</v>
      </c>
      <c r="Y63" s="160">
        <v>5</v>
      </c>
      <c r="Z63" s="159">
        <f>+IFERROR((X63/Y63)*($Q$63),0)</f>
        <v>0.2</v>
      </c>
      <c r="AA63" s="190">
        <v>3</v>
      </c>
      <c r="AB63" s="189">
        <v>3</v>
      </c>
      <c r="AC63" s="188">
        <f>+IFERROR((AA63/AB63)*($Q$63),0)</f>
        <v>0.25</v>
      </c>
      <c r="AD63" s="226">
        <v>1</v>
      </c>
      <c r="AE63" s="225">
        <v>2</v>
      </c>
      <c r="AF63" s="224">
        <f>+IFERROR((AD63/AE63)*($Q$63),0)</f>
        <v>0.125</v>
      </c>
      <c r="AG63" s="43">
        <f>+W63+Z63+AC63+AF63</f>
        <v>0.82499999999999996</v>
      </c>
      <c r="AH63" s="274"/>
      <c r="AI63" s="42" t="s">
        <v>266</v>
      </c>
      <c r="AJ63" s="57" t="s">
        <v>266</v>
      </c>
      <c r="AK63" s="90" t="s">
        <v>504</v>
      </c>
      <c r="AL63" s="96" t="s">
        <v>510</v>
      </c>
      <c r="AM63" s="150" t="s">
        <v>685</v>
      </c>
      <c r="AN63" s="153" t="s">
        <v>690</v>
      </c>
      <c r="AO63" s="178" t="s">
        <v>790</v>
      </c>
      <c r="AP63" s="182" t="s">
        <v>795</v>
      </c>
      <c r="AQ63" s="210" t="s">
        <v>883</v>
      </c>
      <c r="AR63" s="210" t="s">
        <v>917</v>
      </c>
    </row>
    <row r="64" spans="2:44" s="44" customFormat="1" ht="237.75" customHeight="1" thickBot="1" x14ac:dyDescent="0.25">
      <c r="B64" s="24">
        <v>54</v>
      </c>
      <c r="C64" s="37" t="s">
        <v>534</v>
      </c>
      <c r="D64" s="37" t="s">
        <v>45</v>
      </c>
      <c r="E64" s="38" t="s">
        <v>258</v>
      </c>
      <c r="F64" s="37" t="s">
        <v>259</v>
      </c>
      <c r="G64" s="37" t="s">
        <v>260</v>
      </c>
      <c r="H64" s="218" t="s">
        <v>276</v>
      </c>
      <c r="I64" s="37" t="s">
        <v>299</v>
      </c>
      <c r="J64" s="37" t="s">
        <v>277</v>
      </c>
      <c r="K64" s="37" t="s">
        <v>300</v>
      </c>
      <c r="L64" s="37" t="s">
        <v>51</v>
      </c>
      <c r="M64" s="37" t="s">
        <v>263</v>
      </c>
      <c r="N64" s="37" t="s">
        <v>54</v>
      </c>
      <c r="O64" s="37" t="s">
        <v>278</v>
      </c>
      <c r="P64" s="45" t="s">
        <v>279</v>
      </c>
      <c r="Q64" s="40">
        <v>0.25</v>
      </c>
      <c r="R64" s="37" t="s">
        <v>275</v>
      </c>
      <c r="S64" s="41">
        <v>45658</v>
      </c>
      <c r="T64" s="41">
        <v>46022</v>
      </c>
      <c r="U64" s="77">
        <v>17</v>
      </c>
      <c r="V64" s="76">
        <v>23</v>
      </c>
      <c r="W64" s="75">
        <f>+IFERROR((U64/V64)*($Q$64),0)</f>
        <v>0.18478260869565216</v>
      </c>
      <c r="X64" s="161">
        <v>19</v>
      </c>
      <c r="Y64" s="160">
        <v>23</v>
      </c>
      <c r="Z64" s="159">
        <f>+IFERROR((X64/Y64)*($Q$64),0)</f>
        <v>0.20652173913043478</v>
      </c>
      <c r="AA64" s="190">
        <v>38</v>
      </c>
      <c r="AB64" s="189">
        <v>38</v>
      </c>
      <c r="AC64" s="188">
        <f>+IFERROR((AA64/AB64)*($Q$64),0)</f>
        <v>0.25</v>
      </c>
      <c r="AD64" s="226">
        <v>36</v>
      </c>
      <c r="AE64" s="225">
        <v>38</v>
      </c>
      <c r="AF64" s="224">
        <f>+IFERROR((AD64/AE64)*($Q$64),0)</f>
        <v>0.23684210526315788</v>
      </c>
      <c r="AG64" s="43">
        <f>+W64+Z64+AC64+AF64</f>
        <v>0.87814645308924477</v>
      </c>
      <c r="AH64" s="274"/>
      <c r="AI64" s="42" t="s">
        <v>266</v>
      </c>
      <c r="AJ64" s="57" t="s">
        <v>266</v>
      </c>
      <c r="AK64" s="90" t="s">
        <v>505</v>
      </c>
      <c r="AL64" s="97" t="s">
        <v>598</v>
      </c>
      <c r="AM64" s="150" t="s">
        <v>686</v>
      </c>
      <c r="AN64" s="154" t="s">
        <v>691</v>
      </c>
      <c r="AO64" s="178" t="s">
        <v>796</v>
      </c>
      <c r="AP64" s="183" t="s">
        <v>797</v>
      </c>
      <c r="AQ64" s="210" t="s">
        <v>848</v>
      </c>
      <c r="AR64" s="210" t="s">
        <v>918</v>
      </c>
    </row>
    <row r="65" spans="2:44" s="44" customFormat="1" ht="179.25" customHeight="1" thickBot="1" x14ac:dyDescent="0.25">
      <c r="B65" s="24">
        <v>55</v>
      </c>
      <c r="C65" s="37" t="s">
        <v>257</v>
      </c>
      <c r="D65" s="37" t="s">
        <v>45</v>
      </c>
      <c r="E65" s="38" t="s">
        <v>258</v>
      </c>
      <c r="F65" s="37" t="s">
        <v>259</v>
      </c>
      <c r="G65" s="37" t="s">
        <v>260</v>
      </c>
      <c r="H65" s="218" t="s">
        <v>280</v>
      </c>
      <c r="I65" s="37" t="s">
        <v>301</v>
      </c>
      <c r="J65" s="37" t="s">
        <v>281</v>
      </c>
      <c r="K65" s="37" t="s">
        <v>302</v>
      </c>
      <c r="L65" s="37" t="s">
        <v>57</v>
      </c>
      <c r="M65" s="37" t="s">
        <v>263</v>
      </c>
      <c r="N65" s="37">
        <v>4</v>
      </c>
      <c r="O65" s="37" t="s">
        <v>303</v>
      </c>
      <c r="P65" s="39">
        <v>4</v>
      </c>
      <c r="Q65" s="40">
        <v>0.25</v>
      </c>
      <c r="R65" s="37" t="s">
        <v>275</v>
      </c>
      <c r="S65" s="41">
        <v>45658</v>
      </c>
      <c r="T65" s="41">
        <v>46022</v>
      </c>
      <c r="U65" s="77">
        <v>0</v>
      </c>
      <c r="V65" s="76">
        <v>1</v>
      </c>
      <c r="W65" s="75">
        <f>+IFERROR((U65/V65)*$Q$65,0)</f>
        <v>0</v>
      </c>
      <c r="X65" s="161">
        <v>2</v>
      </c>
      <c r="Y65" s="160">
        <v>1</v>
      </c>
      <c r="Z65" s="159">
        <f>+IFERROR((X65/Y65)*$Q$65,0)</f>
        <v>0.5</v>
      </c>
      <c r="AA65" s="190">
        <v>0</v>
      </c>
      <c r="AB65" s="189">
        <v>1</v>
      </c>
      <c r="AC65" s="188">
        <f>+IFERROR((AA65/AB65)*$Q$65,0)</f>
        <v>0</v>
      </c>
      <c r="AD65" s="226">
        <v>2</v>
      </c>
      <c r="AE65" s="225">
        <v>1</v>
      </c>
      <c r="AF65" s="224">
        <f>+IFERROR((AD65/AE65)*$Q$65,0)</f>
        <v>0.5</v>
      </c>
      <c r="AG65" s="43">
        <f>+W65+Z65+AC65+AF65</f>
        <v>1</v>
      </c>
      <c r="AH65" s="274"/>
      <c r="AI65" s="42" t="s">
        <v>266</v>
      </c>
      <c r="AJ65" s="57" t="s">
        <v>266</v>
      </c>
      <c r="AK65" s="90" t="s">
        <v>506</v>
      </c>
      <c r="AL65" s="69" t="s">
        <v>511</v>
      </c>
      <c r="AM65" s="150" t="s">
        <v>687</v>
      </c>
      <c r="AN65" s="154" t="s">
        <v>692</v>
      </c>
      <c r="AO65" s="178" t="s">
        <v>791</v>
      </c>
      <c r="AP65" s="183" t="s">
        <v>798</v>
      </c>
      <c r="AQ65" s="210" t="s">
        <v>849</v>
      </c>
      <c r="AR65" s="210" t="s">
        <v>919</v>
      </c>
    </row>
    <row r="66" spans="2:44" s="44" customFormat="1" ht="168.75" customHeight="1" thickBot="1" x14ac:dyDescent="0.25">
      <c r="B66" s="24">
        <v>56</v>
      </c>
      <c r="C66" s="37" t="s">
        <v>257</v>
      </c>
      <c r="D66" s="37" t="s">
        <v>45</v>
      </c>
      <c r="E66" s="38" t="s">
        <v>258</v>
      </c>
      <c r="F66" s="37" t="s">
        <v>259</v>
      </c>
      <c r="G66" s="37" t="s">
        <v>260</v>
      </c>
      <c r="H66" s="218" t="s">
        <v>304</v>
      </c>
      <c r="I66" s="37" t="s">
        <v>305</v>
      </c>
      <c r="J66" s="37" t="s">
        <v>282</v>
      </c>
      <c r="K66" s="37" t="s">
        <v>306</v>
      </c>
      <c r="L66" s="37" t="s">
        <v>57</v>
      </c>
      <c r="M66" s="37" t="s">
        <v>263</v>
      </c>
      <c r="N66" s="37" t="s">
        <v>307</v>
      </c>
      <c r="O66" s="37" t="s">
        <v>283</v>
      </c>
      <c r="P66" s="39">
        <v>12</v>
      </c>
      <c r="Q66" s="40">
        <v>0.25</v>
      </c>
      <c r="R66" s="37" t="s">
        <v>58</v>
      </c>
      <c r="S66" s="41">
        <v>45658</v>
      </c>
      <c r="T66" s="41">
        <v>46022</v>
      </c>
      <c r="U66" s="77">
        <v>3</v>
      </c>
      <c r="V66" s="76">
        <v>3</v>
      </c>
      <c r="W66" s="75">
        <f>+IFERROR((U66/V66)*$Q$66,0)</f>
        <v>0.25</v>
      </c>
      <c r="X66" s="161">
        <v>3</v>
      </c>
      <c r="Y66" s="160">
        <v>3</v>
      </c>
      <c r="Z66" s="159">
        <f>+IFERROR((X66/Y66)*$Q$66,0)</f>
        <v>0.25</v>
      </c>
      <c r="AA66" s="190">
        <v>3</v>
      </c>
      <c r="AB66" s="189">
        <v>3</v>
      </c>
      <c r="AC66" s="188">
        <f>+IFERROR((AA66/AB66)*$Q$66,0)</f>
        <v>0.25</v>
      </c>
      <c r="AD66" s="226">
        <v>0</v>
      </c>
      <c r="AE66" s="225">
        <v>3</v>
      </c>
      <c r="AF66" s="224">
        <f>+IFERROR((AD66/AE66)*$Q$66,0)</f>
        <v>0</v>
      </c>
      <c r="AG66" s="43">
        <f>+W66+Z66+AC66+AF66</f>
        <v>0.75</v>
      </c>
      <c r="AH66" s="274"/>
      <c r="AI66" s="42" t="s">
        <v>266</v>
      </c>
      <c r="AJ66" s="42" t="s">
        <v>266</v>
      </c>
      <c r="AK66" s="90" t="s">
        <v>507</v>
      </c>
      <c r="AL66" s="97" t="s">
        <v>512</v>
      </c>
      <c r="AM66" s="150" t="s">
        <v>507</v>
      </c>
      <c r="AN66" s="154" t="s">
        <v>693</v>
      </c>
      <c r="AO66" s="178" t="s">
        <v>507</v>
      </c>
      <c r="AP66" s="183" t="s">
        <v>799</v>
      </c>
      <c r="AQ66" s="210" t="s">
        <v>850</v>
      </c>
      <c r="AR66" s="210" t="s">
        <v>799</v>
      </c>
    </row>
    <row r="67" spans="2:44" ht="15" customHeight="1" x14ac:dyDescent="0.25">
      <c r="AH67" s="33"/>
    </row>
    <row r="68" spans="2:44" ht="27" customHeight="1" x14ac:dyDescent="0.3">
      <c r="B68" s="268" t="s">
        <v>599</v>
      </c>
      <c r="C68" s="268"/>
      <c r="D68" s="268"/>
      <c r="E68" s="268"/>
      <c r="AG68" s="148">
        <f>AVERAGE(AG11:AG66)</f>
        <v>0.84594134630587436</v>
      </c>
      <c r="AH68" s="148">
        <f>AVERAGE(AH11:AH66)</f>
        <v>0.85380065958332685</v>
      </c>
    </row>
    <row r="69" spans="2:44" ht="15" customHeight="1" x14ac:dyDescent="0.25"/>
    <row r="70" spans="2:44" ht="15" hidden="1" customHeight="1" x14ac:dyDescent="0.25"/>
    <row r="71" spans="2:44" ht="15" hidden="1" customHeight="1" x14ac:dyDescent="0.25"/>
    <row r="72" spans="2:44" ht="15" hidden="1" customHeight="1" x14ac:dyDescent="0.25"/>
  </sheetData>
  <mergeCells count="42">
    <mergeCell ref="B68:E68"/>
    <mergeCell ref="AH22:AH24"/>
    <mergeCell ref="AH25:AH28"/>
    <mergeCell ref="AH15:AH18"/>
    <mergeCell ref="AH19:AH21"/>
    <mergeCell ref="AH29:AH31"/>
    <mergeCell ref="AH61:AH66"/>
    <mergeCell ref="AH58:AH60"/>
    <mergeCell ref="AH32:AH36"/>
    <mergeCell ref="AH37:AH42"/>
    <mergeCell ref="AH43:AH50"/>
    <mergeCell ref="AH51:AH57"/>
    <mergeCell ref="AH11:AH14"/>
    <mergeCell ref="AG9:AH9"/>
    <mergeCell ref="AQ4:AR4"/>
    <mergeCell ref="S6:AR6"/>
    <mergeCell ref="S7:AR7"/>
    <mergeCell ref="G4:AJ4"/>
    <mergeCell ref="E6:Q6"/>
    <mergeCell ref="E7:Q7"/>
    <mergeCell ref="B2:F4"/>
    <mergeCell ref="AI9:AJ9"/>
    <mergeCell ref="R9:T9"/>
    <mergeCell ref="B9:G9"/>
    <mergeCell ref="X9:Z9"/>
    <mergeCell ref="AA9:AC9"/>
    <mergeCell ref="AD9:AF9"/>
    <mergeCell ref="AK4:AL4"/>
    <mergeCell ref="U9:W9"/>
    <mergeCell ref="H9:Q9"/>
    <mergeCell ref="AQ2:AR2"/>
    <mergeCell ref="AQ3:AR3"/>
    <mergeCell ref="G2:AJ3"/>
    <mergeCell ref="AK2:AL2"/>
    <mergeCell ref="AK3:AL3"/>
    <mergeCell ref="AM2:AN2"/>
    <mergeCell ref="AM3:AN3"/>
    <mergeCell ref="AM4:AN4"/>
    <mergeCell ref="AK9:AR9"/>
    <mergeCell ref="AO2:AP2"/>
    <mergeCell ref="AO3:AP3"/>
    <mergeCell ref="AO4:AP4"/>
  </mergeCells>
  <dataValidations count="1">
    <dataValidation type="list" allowBlank="1" showErrorMessage="1" sqref="M15:M28 M31:M36 M43 M58:M66" xr:uid="{00000000-0002-0000-0000-000000000000}">
      <formula1>#REF!</formula1>
      <formula2>0</formula2>
    </dataValidation>
  </dataValidations>
  <pageMargins left="0.70833333333333304" right="0.70833333333333304" top="0.74791666666666701" bottom="0.74791666666666701" header="0.511811023622047" footer="0.511811023622047"/>
  <pageSetup paperSize="9" orientation="landscape" horizontalDpi="300" verticalDpi="300" r:id="rId1"/>
  <ignoredErrors>
    <ignoredError sqref="AG40 AG25 Z33 AC33 AF3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E36E-8360-491B-B7A3-C94BEFF20936}">
  <dimension ref="B1:L12"/>
  <sheetViews>
    <sheetView topLeftCell="C7" zoomScale="85" zoomScaleNormal="85" workbookViewId="0">
      <selection activeCell="L11" sqref="L11"/>
    </sheetView>
  </sheetViews>
  <sheetFormatPr baseColWidth="10" defaultColWidth="10.85546875" defaultRowHeight="14.25" x14ac:dyDescent="0.2"/>
  <cols>
    <col min="1" max="1" width="5" style="98" customWidth="1"/>
    <col min="2" max="2" width="48.7109375" style="98" customWidth="1"/>
    <col min="3" max="6" width="10.85546875" style="98"/>
    <col min="7" max="7" width="15.42578125" style="98" customWidth="1"/>
    <col min="8" max="8" width="6" style="98" customWidth="1"/>
    <col min="9" max="12" width="60.28515625" style="98" customWidth="1"/>
    <col min="13" max="16384" width="10.85546875" style="98"/>
  </cols>
  <sheetData>
    <row r="1" spans="2:12" ht="15" thickBot="1" x14ac:dyDescent="0.25"/>
    <row r="2" spans="2:12" ht="16.5" thickBot="1" x14ac:dyDescent="0.3">
      <c r="B2" s="286" t="s">
        <v>582</v>
      </c>
      <c r="C2" s="286"/>
      <c r="D2" s="286"/>
      <c r="E2" s="286"/>
      <c r="F2" s="286"/>
      <c r="G2" s="286"/>
      <c r="I2" s="286" t="s">
        <v>558</v>
      </c>
      <c r="J2" s="286"/>
      <c r="K2" s="286"/>
      <c r="L2" s="286"/>
    </row>
    <row r="3" spans="2:12" ht="45.75" thickBot="1" x14ac:dyDescent="0.25">
      <c r="B3" s="120" t="s">
        <v>559</v>
      </c>
      <c r="C3" s="120" t="s">
        <v>560</v>
      </c>
      <c r="D3" s="120" t="s">
        <v>561</v>
      </c>
      <c r="E3" s="120" t="s">
        <v>562</v>
      </c>
      <c r="F3" s="120" t="s">
        <v>563</v>
      </c>
      <c r="G3" s="120" t="s">
        <v>576</v>
      </c>
      <c r="I3" s="121" t="s">
        <v>564</v>
      </c>
      <c r="J3" s="121" t="s">
        <v>565</v>
      </c>
      <c r="K3" s="121" t="s">
        <v>566</v>
      </c>
      <c r="L3" s="121" t="s">
        <v>567</v>
      </c>
    </row>
    <row r="4" spans="2:12" ht="181.5" customHeight="1" thickBot="1" x14ac:dyDescent="0.25">
      <c r="B4" s="139" t="str">
        <f>+'Plan de acción 2025'!H43</f>
        <v xml:space="preserve">Elaborar, implementar y realizar seguimiento el Plan Institucional de Capacitación  (PIC) para los funcionarios de la CSC </v>
      </c>
      <c r="C4" s="140">
        <f>IF('Plan de acción 2025'!W43="N/A",0,'Plan de acción 2025'!W43)</f>
        <v>0.21052631578947367</v>
      </c>
      <c r="D4" s="140">
        <f>IF('Plan de acción 2025'!Z43="N/A",0,'Plan de acción 2025'!Z43)</f>
        <v>0.1644736842105263</v>
      </c>
      <c r="E4" s="140">
        <f>IF('Plan de acción 2025'!AC43="N/A",0,'Plan de acción 2025'!AC43)</f>
        <v>0.21052631578947367</v>
      </c>
      <c r="F4" s="140">
        <f>IF('Plan de acción 2025'!AF43="N/A",0,'Plan de acción 2025'!AF43)</f>
        <v>0.15789473684210525</v>
      </c>
      <c r="G4" s="140">
        <f>SUMIF(C4:F4,"&gt;0",C4:F4)</f>
        <v>0.74342105263157898</v>
      </c>
      <c r="I4" s="144" t="str">
        <f>+'Plan de acción 2025'!$AL$43</f>
        <v>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v>
      </c>
      <c r="J4" s="144" t="str">
        <f>+'Plan de acción 2025'!AN43</f>
        <v>De acuerdo con las evidencias revisadas, el proceso cumplió parcialmente con el indicador para el segundo trimestre de 2025. De las 8 capacitaciones programadas, se realizaron únicamente 3, lo que corresponde a un 37.5% de cumplimiento. Quedan por adelantar las capacitaciones relacionadas con Crecimiento Verde, Protocolos de Atención Ciudadana, Racionalización de Trámites, Presupuestos y Finanzas Públicas, Trabajo en Equipo y MIPG. Así mismo, del primer trimestre aún está pendiente la capacitación sobre Actualización Normativa.
Se recomienda al proceso adelantar las capacitaciones pendientes en los siguientes trimestres, asegurando su desarrollo dentro de los plazos establecidos. Igualmente, se sugiere que en las capacitaciones programadas se busque la mayor participación posible de los funcionarios de la CSC y que los temas abordados sean de interés transversal para toda la entidad, con el fin de fortalecer las competencias institucionales.</v>
      </c>
      <c r="K4" s="144" t="str">
        <f>+'Plan de acción 2025'!AP43</f>
        <v>De acuerdo con las evidencias revisadas, el proceso cumplió con el indicador para el tercer trimestre de 2025, dado que de las 4 capacitaciones programadas se llevaron a cabo las 4 (lenguaje incluyente, SECOP, Office y antisoborno). Adicionalmente, se adelantaron 2 capacitaciones pendientes del segundo trimestre, relacionadas con gastos y presupuesto, y liderazgo y trabajo en equipo. Se recomienda al proceso gestionar las capacitaciones restantes en el siguiente trimestre, procurando que se desarrollen dentro de los plazos establecidos, y promover una mayor participación de los funcionarios, seleccionando temas de interés transversal que fortalezcan las competencias institucionales.</v>
      </c>
      <c r="L4" s="144" t="str">
        <f>+'Plan de acción 2025'!AR43</f>
        <v>De acuerdo con las evidencias revisadas, el proceso cumplió con el indicador para el cuarto trimestre de 2025, dado que de las 3 capacitaciones programadas se llevaron a cabo las 3. Se recomienda al proceso realizar una planeación para el nuevo Plan de capcitaciones de la próxima vigencia, donde se tengan en cuenta las necesidades de capacitación de los diferentes procesos de la entidad y se mida la eficacia de los temas tratados, asi como promover una mayor participación de los funcionarios, seleccionando temas de interés transversal que fortalezcan las competencias institucionales.</v>
      </c>
    </row>
    <row r="5" spans="2:12" ht="185.25" customHeight="1" thickBot="1" x14ac:dyDescent="0.25">
      <c r="B5" s="139" t="str">
        <f>+'Plan de acción 2025'!H44</f>
        <v>Elaborar y realizar el seguimiento al Plan de Bienestar e incentivos de la CSC ajustado a los lineamientos normativos, conceptuales y dimensiones estratégicas adoptadas como resultado del diagnóstico institucional.</v>
      </c>
      <c r="C5" s="140">
        <f>IF('Plan de acción 2025'!W44="N/A",0,'Plan de acción 2025'!W44)</f>
        <v>0.22413793103448276</v>
      </c>
      <c r="D5" s="140">
        <f>IF('Plan de acción 2025'!Z44="N/A",0,'Plan de acción 2025'!Z44)</f>
        <v>0.2281947261663286</v>
      </c>
      <c r="E5" s="140">
        <f>IF('Plan de acción 2025'!AC44="N/A",0,'Plan de acción 2025'!AC44)</f>
        <v>0.24245689655172414</v>
      </c>
      <c r="F5" s="140">
        <f>IF('Plan de acción 2025'!AF44="N/A",0,'Plan de acción 2025'!AF44)</f>
        <v>0.20689655172413793</v>
      </c>
      <c r="G5" s="140">
        <f t="shared" ref="G5:G10" si="0">SUMIF(C5:F5,"&gt;0",C5:F5)</f>
        <v>0.90168610547667338</v>
      </c>
      <c r="I5" s="144" t="str">
        <f>+'Plan de acción 2025'!AL44</f>
        <v>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v>
      </c>
      <c r="J5" s="144" t="str">
        <f>+'Plan de acción 2025'!AN44</f>
        <v>De acuerdo con las evidencias revisadas, el proceso cumplió parcialmente con el indicador para el segundo trimestre de 2025. De las 17 actividades programadas, se ejecutaron 13, lo que corresponde a un 76,47% de cumplimiento. Quedan por ejecutar las jornadas de aeróbicos, la feria de emprendedores, la caminata ecológica y la actividad de herramientas digitales. Cabe resaltar que la capacitación realizada en Novasoft no corresponde al tema de herramientas digitales establecido en el plan. Adicionalmente el proceso realizo el taller de pre-pensionados el 02 de mayo del 2025 y copa gobernacion actividades del primer trimestre.
Se recomienda al proceso ejecutar las actividades pendientes tanto del primer como del segundo trimestre. Así mismo, se sugiere promover los incentivos existentes, como el uso de la bicicleta, y dar a conocer de manera más amplia el programa Servimos y el programa de incentivos, garantizando que todos los funcionarios de la entidad estén informados y puedan acceder a estos beneficios.</v>
      </c>
      <c r="K5" s="144" t="str">
        <f>+'Plan de acción 2025'!AP44</f>
        <v>De acuerdo con las evidencias revisadas, el proceso cumplió con el indicador para el tercer trimestre de 2025, ya que de las 16 actividades programadas se ejecutaron 15, quedando pendiente únicamente la relacionada con la prevención del acoso laboral. Además, el proceso adelantó actividades correspondientes a periodos anteriores, como la sesión de aeróbicos, la feria de emprendimientos y la difusión del uso de la bicicleta. Se recomienda continuar promoviendo los incentivos existentes, como el uso de la bicicleta, y socializar periódicamente el programa Servimos y el programa de incentivos, asegurando que todos los funcionarios estén informados y puedan acceder oportunamente a estos beneficios.</v>
      </c>
      <c r="L5" s="144" t="str">
        <f>+'Plan de acción 2025'!AR44</f>
        <v>De acuerdo con las evidencias revisadas, el proceso presenta un cumplimiento del indicador en el cuarto trimestre, dado que se ejecutaron las doce (12) actividades programadas.
Para el próximo periodo, se recomienda que el plan contemple acciones orientadas a la proyección y sostenibilidad de las actividades realizadas, tales como el ajuste de la programación con base en las lecciones aprendidas, la definición de mecanismos de seguimiento al impacto de las actividades y la incorporación de mejoras que permitan consolidar la participación de los funcionarios y asegurar la continuidad del cumplimiento del indicador en la siguiente vigencia.</v>
      </c>
    </row>
    <row r="6" spans="2:12" ht="183" customHeight="1" thickBot="1" x14ac:dyDescent="0.25">
      <c r="B6" s="139" t="str">
        <f>+'Plan de acción 2025'!H45</f>
        <v>Ejecutar del Programa de Seguridad y Salud en el Trabajo en CSC de conformidad con las disposiciones normativas vigentes.</v>
      </c>
      <c r="C6" s="140">
        <f>IF('Plan de acción 2025'!W45="N/A",0,'Plan de acción 2025'!W45)</f>
        <v>0.27614379084967317</v>
      </c>
      <c r="D6" s="140">
        <f>IF('Plan de acción 2025'!Z45="N/A",0,'Plan de acción 2025'!Z45)</f>
        <v>0.20934256055363323</v>
      </c>
      <c r="E6" s="140">
        <f>IF('Plan de acción 2025'!AC45="N/A",0,'Plan de acción 2025'!AC45)</f>
        <v>0.14411764705882352</v>
      </c>
      <c r="F6" s="140">
        <f>IF('Plan de acción 2025'!AF45="N/A",0,'Plan de acción 2025'!AF45)</f>
        <v>0.13235294117647059</v>
      </c>
      <c r="G6" s="140">
        <f t="shared" si="0"/>
        <v>0.76195693963860056</v>
      </c>
      <c r="I6" s="144" t="str">
        <f>+'Plan de acción 2025'!AL45</f>
        <v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v>
      </c>
      <c r="J6" s="144" t="str">
        <f>+'Plan de acción 2025'!$AN$45</f>
        <v>De acuerdo con las evidencias aportadas, el proceso realizó 11 de las 17 actividades programadas, alcanzando un cumplimiento del 64,7% durante el trimestre. Quedaron pendientes actividades como los exámenes periódicos, inspección en los puestos de trabajo, algunas capacitaciones para brigadistas y el comité de convivencia. Se recomienda al proceso fortalecer la ejecución de las actividades faltantes y complementar las todas las evidencias con registros de asistencia y los temas tratados, con el fin de garantizar una trazabilidad completa y mejorar la gestión en los próximos trimestres.</v>
      </c>
      <c r="K6" s="144" t="str">
        <f>+'Plan de acción 2025'!$AP$45</f>
        <v>De acuerdo con las evidencias aportadas, el indicador se cumple parcialmente, ya que de las 10 actividades programadas solo se evidencian 7 ejecutadas. Además, se presentan inconsistencias relevantes: algunas evidencias no están completas, otras corresponden a actividades de planes distintos y, en el caso del registro de ausentismo, la plataforma no se encuentra en funcionamiento. A esto se suma que la modificación del cronograma no fue aprobada por el último Comité Institucional de Gestión y Desempeño, lo que afecta la validez del avance reportado. Se recomienda al proceso mejorar la organización y trazabilidad de las evidencias, asegurando que correspondan exclusivamente a las actividades del plan y estén debidamente soportadas, así como ajustar y tramitar adecuadamente cualquier cambio de cronograma para su aprobación formal.</v>
      </c>
      <c r="L6" s="144" t="str">
        <f>+'Plan de acción 2025'!$AR$45</f>
        <v>De acuerdo con las evidencias aportadas, el indicador se cumple de manera parcial, dado que de las ocho (8) actividades programadas solo se evidencian seis (6) ejecutadas, quedando pendientes los talleres musculoesqueléticos. Adicionalmente, en lo relacionado con el registro de ausentismo, se evidencia que la plataforma no se encuentra en funcionamiento, lo cual limita la trazabilidad y el seguimiento de la información.
Se recomienda al proceso fortalecer la organización y trazabilidad de las evidencias, asegurando que estas correspondan exclusivamente a las actividades definidas en el plan y cuenten con los soportes adecuados. Así mismo, para el próximo periodo, se sugiere que el plan incorpore acciones orientadas a la proyección y sostenibilidad de las actividades desarrolladas, tales como el ajuste de la programación a partir de las lecciones aprendidas, la definición de mecanismos de seguimiento al impacto de las actividades y la implementación de mejoras que permitan consolidar la participación de los funcionarios y asegurar el cumplimiento del indicador en la siguiente vigencia.</v>
      </c>
    </row>
    <row r="7" spans="2:12" ht="85.5" customHeight="1" thickBot="1" x14ac:dyDescent="0.25">
      <c r="B7" s="139" t="str">
        <f>+'Plan de acción 2025'!H46</f>
        <v>Seguimiento al cumplimiento del cronograma de liquidación de nómina de funcionarios</v>
      </c>
      <c r="C7" s="140">
        <f>IF('Plan de acción 2025'!W46="N/A",0,'Plan de acción 2025'!W46)</f>
        <v>0.25</v>
      </c>
      <c r="D7" s="140">
        <f>IF('Plan de acción 2025'!Z46="N/A",0,'Plan de acción 2025'!Z46)</f>
        <v>0.25</v>
      </c>
      <c r="E7" s="140">
        <f>IF('Plan de acción 2025'!AC46="N/A",0,'Plan de acción 2025'!AC46)</f>
        <v>0.25</v>
      </c>
      <c r="F7" s="140">
        <f>IF('Plan de acción 2025'!AF46="N/A",0,'Plan de acción 2025'!AF46)</f>
        <v>0.25</v>
      </c>
      <c r="G7" s="140">
        <f t="shared" si="0"/>
        <v>1</v>
      </c>
      <c r="I7" s="144" t="str">
        <f>+'Plan de acción 2025'!$AL$46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v>
      </c>
      <c r="J7" s="144" t="str">
        <f>+'Plan de acción 2025'!$AN$46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v>
      </c>
      <c r="K7" s="144" t="str">
        <f>+'Plan de acción 2025'!$AP$46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el próximo trimestre.</v>
      </c>
      <c r="L7" s="144" t="str">
        <f>+'Plan de acción 2025'!$AR$46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v>
      </c>
    </row>
    <row r="8" spans="2:12" ht="141" customHeight="1" thickBot="1" x14ac:dyDescent="0.25">
      <c r="B8" s="139" t="str">
        <f>+'Plan de acción 2025'!H47</f>
        <v>Realizar trámite de recobro de incapacidades ante las EPSs</v>
      </c>
      <c r="C8" s="140">
        <f>IF('Plan de acción 2025'!W47="N/A",0,'Plan de acción 2025'!W47)</f>
        <v>0.25</v>
      </c>
      <c r="D8" s="140">
        <f>IF('Plan de acción 2025'!Z47="N/A",0,'Plan de acción 2025'!Z47)</f>
        <v>0.25</v>
      </c>
      <c r="E8" s="140">
        <f>IF('Plan de acción 2025'!AC47="N/A",0,'Plan de acción 2025'!AC47)</f>
        <v>0.25</v>
      </c>
      <c r="F8" s="140">
        <f>IF('Plan de acción 2025'!AF47="N/A",0,'Plan de acción 2025'!AF47)</f>
        <v>0.25</v>
      </c>
      <c r="G8" s="140">
        <f t="shared" si="0"/>
        <v>1</v>
      </c>
      <c r="I8" s="144" t="str">
        <f>+'Plan de acción 2025'!AL47</f>
        <v>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v>
      </c>
      <c r="J8" s="144" t="str">
        <f>+'Plan de acción 2025'!$AN$47</f>
        <v>De acuerdo con las evidencias revisadas, el proceso cumplió con el indicador para el segundo trimestre de 2025. Durante este periodo se radicaron ante las EPS un total de 7 incapacidades, correspondientes al 100% de las reportadas. Se evidencia que 4 incapacidades fueron canceladas oportunamente por las EPS correspondientes. Sin embargo, aún quedan sin reporte de pago 1 del mes de abril y 2 del mes de junio.
Se recomienda al proceso realizar un seguimiento acumulado a los pagos, incluyendo no solo las incapacidades del trimestre en curso, sino también aquellas de periodos anteriores. Por ejemplo, en el primer trimestre quedó pendiente 1 pago con la EPS Sanitas, del cual el proceso no ha informado si ya fue cancelado o no.</v>
      </c>
      <c r="K8" s="144" t="str">
        <f>+'Plan de acción 2025'!$AP$47</f>
        <v>De acuerdo con las evidencias revisadas, el proceso cumplió con el indicador para el tercer trimestre de 2025, ya que se radicaron ante las EPS las 4 incapacidades reportadas, equivalente al 100% del total. Se evidencia que 2 incapacidades fueron pagadas oportunamente por las EPS, mientras que 2 correspondientes al mes de septiembre aún no registran reporte de pago. Se recomienda al proceso realizar seguimiento activo a las EPS para asegurar el pago de las incapacidades pendientes y mantener actualizada la trazabilidad para el próximo trimestre.</v>
      </c>
      <c r="L8" s="144" t="str">
        <f>+'Plan de acción 2025'!$AR$47</f>
        <v>De acuerdo con las evidencias aportadas por el proceso, se da cumplimiento al indicador, teniendo en cuenta que se radicaron tres (3) incapacidades ante las EPS, de las cuales una (1) fue pagada por la EPS, una (1) fue asumida por el funcionario y una (1) se encuentra pendiente de pago correspondiente al funcionario Jesús Manuel Vergara Berrocal. Adicionalmente, se evidencia que se efectuó el pago de dos (2) incapacidades pendientes correspondientes al mes de septiembre.</v>
      </c>
    </row>
    <row r="9" spans="2:12" ht="108.75" customHeight="1" thickBot="1" x14ac:dyDescent="0.25">
      <c r="B9" s="139" t="str">
        <f>+'Plan de acción 2025'!H48</f>
        <v>Realizar las evaluaciones de desempeño y de rendimiento laboral de los funcionarios de la CSC</v>
      </c>
      <c r="C9" s="140">
        <f>IF('Plan de acción 2025'!W48="N/A",0,'Plan de acción 2025'!W48)</f>
        <v>0.5</v>
      </c>
      <c r="D9" s="140">
        <f>IF('Plan de acción 2025'!Z48="N/A",0,'Plan de acción 2025'!Z48)</f>
        <v>0</v>
      </c>
      <c r="E9" s="140">
        <f>IF('Plan de acción 2025'!AC48="N/A",0,'Plan de acción 2025'!AC48)</f>
        <v>0.5</v>
      </c>
      <c r="F9" s="140">
        <f>IF('Plan de acción 2025'!AF48="N/A",0,'Plan de acción 2025'!AF48)</f>
        <v>0</v>
      </c>
      <c r="G9" s="140">
        <f t="shared" si="0"/>
        <v>1</v>
      </c>
      <c r="I9" s="144" t="str">
        <f>+'Plan de acción 2025'!AL48</f>
        <v>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v>
      </c>
      <c r="J9" s="144" t="str">
        <f>+'Plan de acción 2025'!AN48</f>
        <v>Para el presente trimestre el indicador no presenta medición, toda vez que su periodicidad es semestral. No obstante, el proceso reportó de manera transitoria las evaluaciones de periodo de prueba de los funcionarios Liced Barón, Wilmer Quiroga y Camilo Méndez, las cuales fueron realizadas por su respectivo jefe y cuentan con las evidencias correspondientes.
Se sugiere al proceso consolidar estas evaluaciones en un informe único y mantenerlas como evidencia complementaria, de manera que en la próxima medición semestral se cuente con un registro organizado y trazable.</v>
      </c>
      <c r="K9" s="144" t="str">
        <f>+'Plan de acción 2025'!AP48</f>
        <v>Se evidencia que el proceso cumple con el indicador, al haberse realizado el seguimiento correspondiente para la evaluación del desempeño de los funcionarios de planta de la entidad. No obstante, no se encuentra evidencia de la evaluación de las funcionarias Amparo Gómez y Margarita Dimate. Se recomienda al proceso fortalecer la calidad y completitud de las evidencias aportadas en futuras mediciones, así como formalizar el formato de evaluación del período de prueba dentro del Sistema de Gestión de Calidad, garantizando su trazabilidad y cumplimiento.</v>
      </c>
      <c r="L9" s="144" t="str">
        <f>+'Plan de acción 2025'!AR48</f>
        <v>Para este trimestre el indicador no presenta medición, debido  a que las actividades de seguimiento se ejecutaron en el trimestre anterior.</v>
      </c>
    </row>
    <row r="10" spans="2:12" ht="123" customHeight="1" thickBot="1" x14ac:dyDescent="0.25">
      <c r="B10" s="139" t="str">
        <f>+'Plan de acción 2025'!H49</f>
        <v>Realizar seguimiento al autodiagnóstico de Talento Humano fortaleciendo las rutas con menor calificación</v>
      </c>
      <c r="C10" s="140">
        <f>IF('Plan de acción 2025'!W49="N/A",0,'Plan de acción 2025'!W49)</f>
        <v>0</v>
      </c>
      <c r="D10" s="140">
        <f>IF('Plan de acción 2025'!Z49="N/A",0,'Plan de acción 2025'!Z49)</f>
        <v>0</v>
      </c>
      <c r="E10" s="140">
        <f>IF('Plan de acción 2025'!AC49="N/A",0,'Plan de acción 2025'!AC49)</f>
        <v>0</v>
      </c>
      <c r="F10" s="140">
        <f>IF('Plan de acción 2025'!AF49="N/A",0,'Plan de acción 2025'!AF49)</f>
        <v>0.89</v>
      </c>
      <c r="G10" s="140">
        <f t="shared" si="0"/>
        <v>0.89</v>
      </c>
      <c r="I10" s="144" t="str">
        <f>+'Plan de acción 2025'!$AL$49</f>
        <v>Para este trimestre, el indicador no presenta medición.
Se sugiere al proceso revisar las recomendaciones y/o actividades pendientes del autodiagnóstico, con el fin de que, en los próximos periodos de medición, se logre mantener o mejorar la calificación obtenida.</v>
      </c>
      <c r="J10" s="144" t="str">
        <f>+'Plan de acción 2025'!$AN$49</f>
        <v>Para el segundo trimestre de 2025 el indicador no presenta medición. No obstante, se reconoce que el proceso ha adelantado actividades orientadas a implementar las acciones resultantes del autodiagnóstico realizado.
Se recomienda al proceso continuar con la implementación de las actividades proyectadas en el plan, de manera que se logre mejorar y/o mantener los resultados obtenidos en el diagnóstico inicial. Así mismo, tener en cuenta que la próxima medición del autodiágnostico se debe realizar en el cuarto trimestre, por lo que se sugiere ir alistando las evidencias necesarias para su adecuada valoración.</v>
      </c>
      <c r="K10" s="144" t="str">
        <f>+'Plan de acción 2025'!$AP$49</f>
        <v>Para este trimestre, el indicador no presenta medición, por lo que se recomienda al proceso iniciar el desarrollo del autodiagnóstico con el fin de garantizar su cumplimiento en el siguiente trimestre. Adicionalmente, se sugiere revisar la información que se está reportando los seguimeitno s del plan de acción, ya que no es coherente con lo que se pide en el indicador.</v>
      </c>
      <c r="L10" s="144" t="str">
        <f>+'Plan de acción 2025'!$AR$49</f>
        <v>De acuerdo con la información y evidencias revisadas, el indicador se cumple de manera parcial, dado que el proceso tenía como meta obtener un puntaje superior a 90 puntos y el resultado alcanzado fue de 89 puntos. Así mismo, se evidencia que el proceso realizó seguimiento a las actividades derivadas del autodiagnóstico.
Se recomienda al proceso programar y ejecutar oportunamente el diligenciamiento del autodiagnóstico de Talento Humano conforme a la periodicidad definida, así como asegurar la generación, conservación y disponibilidad de las evidencias correspondientes, con el fin de garantizar la medición efectiva del indicador y la trazabilidad del seguimiento en los periodos posteriores.</v>
      </c>
    </row>
    <row r="11" spans="2:12" ht="150.75" customHeight="1" thickBot="1" x14ac:dyDescent="0.25">
      <c r="B11" s="139" t="str">
        <f>+'Plan de acción 2025'!H50</f>
        <v>Suscripción de los acuerdos de gestión y seguimiento a su cumplimiento</v>
      </c>
      <c r="C11" s="140">
        <f>IF('Plan de acción 2025'!W50="N/A",0,'Plan de acción 2025'!W50)</f>
        <v>0.25</v>
      </c>
      <c r="D11" s="140">
        <f>IF('Plan de acción 2025'!Z50="N/A",0,'Plan de acción 2025'!Z50)</f>
        <v>0</v>
      </c>
      <c r="E11" s="140">
        <f>IF('Plan de acción 2025'!AC50="N/A",0,'Plan de acción 2025'!AC50)</f>
        <v>0</v>
      </c>
      <c r="F11" s="140">
        <f>IF('Plan de acción 2025'!AF50="N/A",0,'Plan de acción 2025'!AF50)</f>
        <v>0</v>
      </c>
      <c r="G11" s="140">
        <f>SUMIF(C11:F11,"&gt;0",C11:F11)</f>
        <v>0.25</v>
      </c>
      <c r="I11" s="145" t="str">
        <f>+'Plan de acción 2025'!$AL$50</f>
        <v>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v>
      </c>
      <c r="J11" s="145" t="str">
        <f>+'Plan de acción 2025'!$AN$50</f>
        <v>De acuerdo con las evidencias presentadas por el proceso, se confirma que los Acuerdos de Gestión para la vigencia 2025 fueron concertados con los directivos y la Gerente de la entidad. Sin embargo, no se evidencian los seguimientos finalizados correspondientes a los Acuerdos de Gestión del año 2024.
Se recomienda al proceso de forma prioritaria adelantar y finalizar las actividades pendientes relacionadas con el seguimiento a los Acuerdos de Gestión 2024, de manera que puedan ser presentados en el siguiente trimestre. Así mismo, se sugiere realizar oportunamente el primer seguimiento de los Acuerdos de la vigencia 2025 y garantizar su publicación tanto de concertación como de seguimientos en la página web de la entidad, con el fin de promover la transparencia y el acceso a la información.</v>
      </c>
      <c r="K11" s="145" t="str">
        <f>+'Plan de acción 2025'!$AP$50</f>
        <v>El proceso no cumple con el indicador, ya que para este trimestre se debía realizar el primer seguimiento a los acuerdos de gestión del primer semestre de 2025. Si bien se evidencia la publicación en la web de la concertación de los acuerdos de 2025, continúan pendientes los seguimientos correspondientes al segundo semestre de 2024 y al primer semestre de 2025. Se recomienda al proceso regularizar los seguimientos atrasados.</v>
      </c>
      <c r="L11" s="145" t="str">
        <f>+'Plan de acción 2025'!$AR$50</f>
        <v>Este indicador para el trimestre evaluado no presenta medición. Sin embargo, se evidencia que el proceso no ha logrado avanzar en el cierre de los periodos anteriores, en la medida en que no se realizaron los seguimientos a los acuerdos de gestión correspondientes a vigencias previas, lo cual limita la trazabilidad y el análisis del cumplimiento histórico del indicador.
Se recomienda al proceso realizar de manera prioritaria los seguimientos a los acuerdos de gestión correspondientes a los periodos anteriores, con el fin de cerrar las brechas acumuladas y restablecer la trazabilidad del indicador. Así mismo, se sugiere programar y documentar oportunamente los seguimientos a los acuerdos de gestión conforme a la periodicidad definida en la normatividad, garantizando la medición efectiva del indicador en las vigencias siguientes.</v>
      </c>
    </row>
    <row r="12" spans="2:12" ht="25.5" customHeight="1" thickBot="1" x14ac:dyDescent="0.25">
      <c r="B12" s="130" t="s">
        <v>568</v>
      </c>
      <c r="C12" s="118">
        <f>+AVERAGE(C4:C11)</f>
        <v>0.24510100470920371</v>
      </c>
      <c r="D12" s="118">
        <f>+AVERAGE(D4:D11)</f>
        <v>0.13775137136631102</v>
      </c>
      <c r="E12" s="118">
        <f>+AVERAGE(E4:E11)</f>
        <v>0.19963760742500267</v>
      </c>
      <c r="F12" s="118">
        <f>+AVERAGE(F4:F11)</f>
        <v>0.23589302871783924</v>
      </c>
      <c r="G12" s="118">
        <f>+AVERAGE(G4:G11)</f>
        <v>0.81838301221835652</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F7CD-F1D8-4E04-8FE2-DF1D8DD2C959}">
  <dimension ref="B1:L10"/>
  <sheetViews>
    <sheetView topLeftCell="A5" zoomScale="70" zoomScaleNormal="70" workbookViewId="0">
      <selection activeCell="K9" sqref="K9"/>
    </sheetView>
  </sheetViews>
  <sheetFormatPr baseColWidth="10" defaultColWidth="10.85546875" defaultRowHeight="14.25" x14ac:dyDescent="0.2"/>
  <cols>
    <col min="1" max="1" width="10.85546875" style="98"/>
    <col min="2" max="2" width="46.42578125" style="98" customWidth="1"/>
    <col min="3" max="6" width="10.85546875" style="98"/>
    <col min="7" max="7" width="16.7109375" style="98" customWidth="1"/>
    <col min="8" max="8" width="6" style="98" customWidth="1"/>
    <col min="9" max="12" width="54" style="98" customWidth="1"/>
    <col min="13" max="16384" width="10.85546875" style="98"/>
  </cols>
  <sheetData>
    <row r="1" spans="2:12" ht="15" thickBot="1" x14ac:dyDescent="0.25"/>
    <row r="2" spans="2:12" ht="15.75" thickBot="1" x14ac:dyDescent="0.3">
      <c r="B2" s="285" t="s">
        <v>581</v>
      </c>
      <c r="C2" s="285"/>
      <c r="D2" s="285"/>
      <c r="E2" s="285"/>
      <c r="F2" s="285"/>
      <c r="G2" s="285"/>
      <c r="I2" s="285" t="s">
        <v>558</v>
      </c>
      <c r="J2" s="285"/>
      <c r="K2" s="285"/>
      <c r="L2" s="285"/>
    </row>
    <row r="3" spans="2:12" ht="45.75" thickBot="1" x14ac:dyDescent="0.25">
      <c r="B3" s="120" t="s">
        <v>559</v>
      </c>
      <c r="C3" s="120" t="s">
        <v>560</v>
      </c>
      <c r="D3" s="120" t="s">
        <v>561</v>
      </c>
      <c r="E3" s="120" t="s">
        <v>562</v>
      </c>
      <c r="F3" s="120" t="s">
        <v>563</v>
      </c>
      <c r="G3" s="120" t="s">
        <v>576</v>
      </c>
      <c r="I3" s="121" t="s">
        <v>564</v>
      </c>
      <c r="J3" s="121" t="s">
        <v>565</v>
      </c>
      <c r="K3" s="121" t="s">
        <v>566</v>
      </c>
      <c r="L3" s="121" t="s">
        <v>567</v>
      </c>
    </row>
    <row r="4" spans="2:12" ht="201" customHeight="1" thickBot="1" x14ac:dyDescent="0.25">
      <c r="B4" s="139" t="str">
        <f>+'Plan de acción 2025'!H37</f>
        <v>Elaborar el  Plan Anual de mantenimiento de la infraestructura física  de la entidad y realizar el seguimiento de acuerdo al cronograma de actividades planteado</v>
      </c>
      <c r="C4" s="142">
        <f>IF('Plan de acción 2025'!W37="N/A",0,'Plan de acción 2025'!W37)</f>
        <v>0.25</v>
      </c>
      <c r="D4" s="142">
        <f>IF('Plan de acción 2025'!Z37="N/A",0,'Plan de acción 2025'!Z37)</f>
        <v>6.25E-2</v>
      </c>
      <c r="E4" s="142">
        <f>IF('Plan de acción 2025'!AC37="N/A",0,'Plan de acción 2025'!AC37)</f>
        <v>0.1</v>
      </c>
      <c r="F4" s="142">
        <f>IF('Plan de acción 2025'!AF37="N/A",0,'Plan de acción 2025'!AF37)</f>
        <v>0.25</v>
      </c>
      <c r="G4" s="140">
        <f t="shared" ref="G4:G9" si="0">SUMIF(C4:F4,"&gt;0",C4:F4)</f>
        <v>0.66249999999999998</v>
      </c>
      <c r="I4" s="144" t="str">
        <f>+'Plan de acción 2025'!AL39</f>
        <v>Anexar las evidencias de las 18 solicitudes del almacén</v>
      </c>
      <c r="J4" s="144" t="str">
        <f>+'Plan de acción 2025'!$AN$37</f>
        <v>De acuerdo con las evidencias revisadas, el proceso no cumplió con el indicador para el segundo trimestre de 2025. De las 4 actividades programadas, únicamente se reporta la ejecución de 1 actividad, relacionada con el aseo y mantenimiento de las condiciones de higiene y limpieza de la entidad; sin embargo, esta no cuenta con evidencias que soporten su cumplimiento. En consecuencia, el cumplimiento del plan corresponde a un 25%, lo que se considera incumplimiento del indicador.
Se recomienda al proceso ejecutar las actividades pendientes del plan, especialmente aquellas relacionadas con el lavado de tanques, la revisión de suministros eléctricos e iluminación, y la fumigación de los predios de la CSC, con el fin de garantizar la adecuada conservación y funcionamiento de la infraestructura. Así mismo, se sugiere que todas las actividades ejecutadas cuenten con la respectiva evidencia documental y fotográfica, que permita verificar de manera confiable el cumplimiento de las acciones programadas.</v>
      </c>
      <c r="K4" s="144" t="str">
        <f>+'Plan de acción 2025'!$AP$37</f>
        <v>De acuerdo con las evidencias reportadas, el proceso no cumple con el indicador, pues de las 5 actividades de mantenimiento programadas solo se ejecutaron 2,  relacionadas con la adecuación de oficina y pasillos, así como con el correcto funcionamiento de los baños. Se recomienda establecer un plan de ejecución inmediata priorizando las actividades pendientes y asegurando mecanismos de seguimiento  para garantizar que el próximo trimestre se realicen las actividades y se ejecuenten las pendientes, sin rezagos.</v>
      </c>
      <c r="L4" s="144" t="str">
        <f>+'Plan de acción 2025'!$AR$37</f>
        <v>De acuerdo con las evidencias revisadas, durante el cuarto trimestre el proceso dio cumplimiento a lo programado en el plan de mantenimiento, ejecutando cuatro (4) actividades relacionadas con el lavado y desinfección de tanques, higiene en los puestos de trabajo, fumigación y cambio de extintores, conforme a la programación establecida para el periodo.
Se recomienda al proceso fortalecer la planeación integral del plan de mantenimiento, asegurando la definición clara de cronogramas, responsables y frecuencias, así como verificar que las actividades se ejecuten dentro de los tiempos establecidos y en concordancia con la normatividad aplicable, garantizando la trazabilidad y el cumplimiento técnico de las obligaciones institucionales.</v>
      </c>
    </row>
    <row r="5" spans="2:12" ht="171" customHeight="1" thickBot="1" x14ac:dyDescent="0.25">
      <c r="B5" s="139" t="str">
        <f>+'Plan de acción 2025'!H38</f>
        <v>Informe semestral de seguimiento a la Inspección preoperativa del parque automotor de la Entidad</v>
      </c>
      <c r="C5" s="142">
        <f>IF('Plan de acción 2025'!W38="N/A",0,'Plan de acción 2025'!W38)</f>
        <v>0</v>
      </c>
      <c r="D5" s="142">
        <f>IF('Plan de acción 2025'!Z38="N/A",0,'Plan de acción 2025'!Z38)</f>
        <v>0.5</v>
      </c>
      <c r="E5" s="142">
        <f>IF('Plan de acción 2025'!AC38="N/A",0,'Plan de acción 2025'!AC38)</f>
        <v>0</v>
      </c>
      <c r="F5" s="142">
        <f>IF('Plan de acción 2025'!AF38="N/A",0,'Plan de acción 2025'!AF38)</f>
        <v>0.41666666666666669</v>
      </c>
      <c r="G5" s="142">
        <f t="shared" si="0"/>
        <v>0.91666666666666674</v>
      </c>
      <c r="I5" s="144" t="str">
        <f>+'Plan de acción 2025'!AL38</f>
        <v>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v>
      </c>
      <c r="J5" s="144" t="str">
        <f>+'Plan de acción 2025'!$AN$38</f>
        <v>De acuerdo con las evidencias revisadas, el proceso cumplió con el indicador para el segundo trimestre de 2025, suscribiendo el contrato No. 5-007 de mantenimiento del parque automotor, con acta de inicio del 6 de mayo de 2025, por un valor de $80 millones. Se evidencia la ejecución de mantenimientos a los 5 vehículos de la entidad, incluyendo la actualización de la revisión técnico-mecánica del vehículo OSM-114, así como cambios de aceite, bombillos, bujías, entre otros aspectos importantes.
Si bien se evidencia el cumplimiento de los mantenimientos programados, no se presentan soportes de las inspecciones preoperativas realizadas por los conductores. Se recomienda fortalecer el control de estas inspecciones, asegurando su registro documental, con el fin de garantizar la trazabilidad y seguridad en la operación del parque automotor.</v>
      </c>
      <c r="K5" s="144" t="str">
        <f>+'Plan de acción 2025'!$AP$38</f>
        <v>Para este trimestre el indicador no presenta seguimiento; sin embargo, se tiene en cuenta que se realizaron los mantenimientos previstos al parque automotor, soportados con las órdenes de pago correspondientes. Se recomienda al proceso fortalecer el registro y seguimiento periódico de estas actividades, incorporando el formato de inspección preoperativa de la Ruta de la Calidad para mejorar la trazabilidad y asegurar un control preventivo adecuado.</v>
      </c>
      <c r="L5" s="144" t="str">
        <f>+'Plan de acción 2025'!$AR$38</f>
        <v xml:space="preserve">De acuerdo con las evidencias revisadas, el proceso cumplió con el indicador para el cuatro trimestre de 2025,  Se evidencia la ejecución de mantenimientos a los 5 vehículos de la entidad, incluyendo la actualización de la revisión técnico-mecánica de los vehículos OHK-864, OHK865  Y OFK448, así como cambios de aceite, bombillos, bujías, entre otros aspectos importantes.
Se presentan los de las inspecciones preoperativas realizadas por los conductores y el inspector. SIin embargo se recomienda dar información sobre el vehículo de placas  OFK440, ya que no se han reportado información sobre este. </v>
      </c>
    </row>
    <row r="6" spans="2:12" ht="106.5" customHeight="1" thickBot="1" x14ac:dyDescent="0.25">
      <c r="B6" s="139" t="str">
        <f>+'Plan de acción 2025'!H39</f>
        <v>Entregar oportunamente los elementos de papelería y consumo indicados en las solicitudes recibidas.</v>
      </c>
      <c r="C6" s="142">
        <f>IF('Plan de acción 2025'!W39="N/A",0,'Plan de acción 2025'!W39)</f>
        <v>0.25</v>
      </c>
      <c r="D6" s="142">
        <f>IF('Plan de acción 2025'!Z39="N/A",0,'Plan de acción 2025'!Z39)</f>
        <v>0.25</v>
      </c>
      <c r="E6" s="142">
        <f>IF('Plan de acción 2025'!AC39="N/A",0,'Plan de acción 2025'!AC39)</f>
        <v>0.25</v>
      </c>
      <c r="F6" s="142">
        <f>IF('Plan de acción 2025'!AF39="N/A",0,'Plan de acción 2025'!AF39)</f>
        <v>5.2631578947368418E-2</v>
      </c>
      <c r="G6" s="142">
        <f t="shared" si="0"/>
        <v>0.80263157894736836</v>
      </c>
      <c r="I6" s="144" t="str">
        <f>+'Plan de acción 2025'!$AL$39</f>
        <v>Anexar las evidencias de las 18 solicitudes del almacén</v>
      </c>
      <c r="J6" s="144" t="str">
        <f>+'Plan de acción 2025'!$AN$39</f>
        <v>De acuerdo con las evidencias suministradas por el proceso, se observa que se entregan la mayoría de los elementos solicitados por los procesos y se realiza el respectivo seguimiento a la entrega, por lo cual el indicador se cumple. Sin embargo, se recomienda al proceso actualizar el formato, eliminando aquellos elementos que no se encuentran en inventario y organizando una lista de los que presentan escasez, con el fin de priorizar su adquisición y garantizar la disponibilidad oportuna.</v>
      </c>
      <c r="K6" s="144" t="str">
        <f>+'Plan de acción 2025'!$AP$39</f>
        <v>De acuerdo con las evidencias suministradas por el proceso, se observa que se entregan la mayoría de los elementos solicitados por los procesos y se realiza el respectivo seguimiento a la entrega, por lo cual el indicador se cumple. No obstante, se recomienda al proceso actualizar el formato de solicitud de elementos,  eliminando los elementos que ya no hacen parte del inventario e incorporando una lista de aquellos que presentan escasez, con el fin de priorizar su adquisición y garantizar su disponibilidad oportuna.</v>
      </c>
      <c r="L6" s="144" t="str">
        <f>+'Plan de acción 2025'!$AR$39</f>
        <v>De acuerdo con la evidencia aportada por el proceso no se cumple con el indicador ya que únicamente se logra verificar el despacho de cuatro (4) solicitudes de elementos de papelería, pese a que el proceso reporta la atención de diecinueve (19) solicitudes durante el cuarto trimestre. En consecuencia, la información presentada no permite validar en su totalidad lo reportado. Se recomienda al área fortalecer las evidencias y asegurar la concordancia entre lo reportado y los soportes anexos para los próximos seguimientos.</v>
      </c>
    </row>
    <row r="7" spans="2:12" ht="114" customHeight="1" thickBot="1" x14ac:dyDescent="0.25">
      <c r="B7" s="139" t="str">
        <f>+'Plan de acción 2025'!H40</f>
        <v>Actualizar semestralmente los inventarios  individuales de los funcionarios de la Entidad, los cuales deben estar firmados por el funcionario responsable.</v>
      </c>
      <c r="C7" s="142">
        <f>IF('Plan de acción 2025'!W40="N/A",0,'Plan de acción 2025'!W40)</f>
        <v>0</v>
      </c>
      <c r="D7" s="142">
        <f>IF('Plan de acción 2025'!Z40="N/A",0,'Plan de acción 2025'!Z40)</f>
        <v>0.5</v>
      </c>
      <c r="E7" s="142">
        <f>IF('Plan de acción 2025'!AC40="N/A",0,'Plan de acción 2025'!AC40)</f>
        <v>0</v>
      </c>
      <c r="F7" s="142">
        <f>IF('Plan de acción 2025'!AF40="N/A",0,'Plan de acción 2025'!AF40)</f>
        <v>7.407407407407407E-2</v>
      </c>
      <c r="G7" s="142">
        <f t="shared" si="0"/>
        <v>0.57407407407407407</v>
      </c>
      <c r="I7" s="144" t="str">
        <f>+'Plan de acción 2025'!$AL$40</f>
        <v>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v>
      </c>
      <c r="J7" s="144" t="str">
        <f>+'Plan de acción 2025'!$AN$40</f>
        <v>De acuerdo con las evidencias presentadas por el proceso, se constata que se realizó el inventario de 55 funcionarios activos al 30 de junio, cumpliendo con el indicador. No obstante, se recomienda al proceso organizar y reubicar los elementos que algunos funcionarios reportaron no tener bajo su custodia, así como recopilar las firmas de todos los funcionarios. Adicionalmente, para la próxima actualización se sugiere que las evidencias se presenten en su totalidad y no mediante muestras, con el fin de garantizar un control más completo y confiable.</v>
      </c>
      <c r="K7" s="144" t="str">
        <f>+'Plan de acción 2025'!$AP$40</f>
        <v>Para el trimestre, el indicador no presenta seguimiento; por lo tanto, se recomienda al proceso iniciar la ejecución de la actualización de los inventarios individuales de los funcionarios, con el fin de asegurar la trazabilidad, el control de los bienes asignados y la continuidad del seguimiento en el úlitmo trimestre.</v>
      </c>
      <c r="L7" s="144" t="str">
        <f>+'Plan de acción 2025'!$AR$40</f>
        <v xml:space="preserve">De acuerdo a la evidencias aportadas por el proceso solo se identifican 8 inventarios realizados de los 54 reportados por lo cual no se cumple con el indicador </v>
      </c>
    </row>
    <row r="8" spans="2:12" ht="116.25" customHeight="1" thickBot="1" x14ac:dyDescent="0.25">
      <c r="B8" s="139" t="str">
        <f>+'Plan de acción 2025'!H41</f>
        <v xml:space="preserve">Verificar los elementos de consumo y devolutivos de acuerdo al reporte generado por Novasoft frente al físico. </v>
      </c>
      <c r="C8" s="142">
        <f>IF('Plan de acción 2025'!W41="N/A",0,'Plan de acción 2025'!W41)</f>
        <v>0.25</v>
      </c>
      <c r="D8" s="142">
        <f>IF('Plan de acción 2025'!Z41="N/A",0,'Plan de acción 2025'!Z41)</f>
        <v>0.25</v>
      </c>
      <c r="E8" s="142">
        <f>IF('Plan de acción 2025'!AC41="N/A",0,'Plan de acción 2025'!AC41)</f>
        <v>0.25</v>
      </c>
      <c r="F8" s="142">
        <f>IF('Plan de acción 2025'!AF41="N/A",0,'Plan de acción 2025'!AF41)</f>
        <v>0.25</v>
      </c>
      <c r="G8" s="142">
        <f t="shared" si="0"/>
        <v>1</v>
      </c>
      <c r="I8" s="144" t="str">
        <f>+'Plan de acción 2025'!$AL$41</f>
        <v>Revisar cuales serían los inventarios físicos</v>
      </c>
      <c r="J8" s="144" t="str">
        <f>+'Plan de acción 2025'!$AN$41</f>
        <v>De acuerdo con las evidencias, el proceso cumple con el indicador al presentar informes mensuales de inventarios devolutivos y de consumo generados en Novasoft; sin embargo, no se logra verificar la concordancia entre el inventario reportado y el inventario físico real. Esto puede generar una brecha en la confiabilidad de la información registrada, lo que limita la validación de la información. Se recomienda al proceso mejorar las evidencias en el próximo trimestre o ajustar el indicador para que mida de manera realista la gestión de inventarios y no únicamente la generación de reportes.</v>
      </c>
      <c r="K8" s="144" t="str">
        <f>+'Plan de acción 2025'!$AP$41</f>
        <v>De acuerdo con las evidencias, el proceso cumple parcialemnte con el indicador al presentar informes de inventarios devolutivos y de consumo generados en Novasoft; sin embargo, no se verifica la concordancia entre lo reportado y el inventario físico real, lo que genera una brecha en la confiabilidad de la información y limita la validación efectiva del cumplimiento. Se recomienda al proceso fortalecer las evidencias para el próximo trimestre o ajustar el indicador, de manera que refleje de forma más realista la gestión de inventarios y no se limite únicamente a la generación de reportes.</v>
      </c>
      <c r="L8" s="144" t="str">
        <f>+'Plan de acción 2025'!$AR$41</f>
        <v>De acuerdo con las evidencias, el proceso cumple parcialmente con el indicador, al presentar informes de inventarios devolutivos y de consumo generados en Novasoft. Sin embargo, no se verifica la concordancia entre lo reportado y el inventario físico, lo que genera una brecha en la confiabilidad de la información y limita la validación efectiva del cumplimiento. Se recomienda fortalecer las evidencias o ajustar el indicador, de manera que refleje de forma más precisa la gestión de inventarios y no se limite únicamente a la generación de reportes.</v>
      </c>
    </row>
    <row r="9" spans="2:12" ht="110.25" customHeight="1" thickBot="1" x14ac:dyDescent="0.25">
      <c r="B9" s="139" t="str">
        <f>+'Plan de acción 2025'!H42</f>
        <v>Actualizar el Plan institucional de Gestión Ambiental,  publicarlo en la página web de la Entidad y realizar seguimiento a las actividades</v>
      </c>
      <c r="C9" s="142">
        <f>IF('Plan de acción 2025'!W42="N/A",0,'Plan de acción 2025'!W42)</f>
        <v>3.125E-2</v>
      </c>
      <c r="D9" s="142">
        <f>IF('Plan de acción 2025'!Z42="N/A",0,'Plan de acción 2025'!Z42)</f>
        <v>0.05</v>
      </c>
      <c r="E9" s="142">
        <f>IF('Plan de acción 2025'!AC42="N/A",0,'Plan de acción 2025'!AC42)</f>
        <v>4.1666666666666664E-2</v>
      </c>
      <c r="F9" s="142">
        <f>IF('Plan de acción 2025'!AF42="N/A",0,'Plan de acción 2025'!AF42)</f>
        <v>0.14285714285714285</v>
      </c>
      <c r="G9" s="142">
        <f t="shared" si="0"/>
        <v>0.26577380952380952</v>
      </c>
      <c r="I9" s="145" t="str">
        <f>+'Plan de acción 2025'!$AL$42</f>
        <v>El cronograma de actividades del piga, presenta 8 actividades, de las cuales solo se realizo 1</v>
      </c>
      <c r="J9" s="145" t="str">
        <f>+'Plan de acción 2025'!$AN$41</f>
        <v>De acuerdo con las evidencias, el proceso cumple con el indicador al presentar informes mensuales de inventarios devolutivos y de consumo generados en Novasoft; sin embargo, no se logra verificar la concordancia entre el inventario reportado y el inventario físico real. Esto puede generar una brecha en la confiabilidad de la información registrada, lo que limita la validación de la información. Se recomienda al proceso mejorar las evidencias en el próximo trimestre o ajustar el indicador para que mida de manera realista la gestión de inventarios y no únicamente la generación de reportes.</v>
      </c>
      <c r="K9" s="145" t="str">
        <f>+'Plan de acción 2025'!$AP$41</f>
        <v>De acuerdo con las evidencias, el proceso cumple parcialemnte con el indicador al presentar informes de inventarios devolutivos y de consumo generados en Novasoft; sin embargo, no se verifica la concordancia entre lo reportado y el inventario físico real, lo que genera una brecha en la confiabilidad de la información y limita la validación efectiva del cumplimiento. Se recomienda al proceso fortalecer las evidencias para el próximo trimestre o ajustar el indicador, de manera que refleje de forma más realista la gestión de inventarios y no se limite únicamente a la generación de reportes.</v>
      </c>
      <c r="L9" s="145" t="str">
        <f>+'Plan de acción 2025'!$AR$41</f>
        <v>De acuerdo con las evidencias, el proceso cumple parcialmente con el indicador, al presentar informes de inventarios devolutivos y de consumo generados en Novasoft. Sin embargo, no se verifica la concordancia entre lo reportado y el inventario físico, lo que genera una brecha en la confiabilidad de la información y limita la validación efectiva del cumplimiento. Se recomienda fortalecer las evidencias o ajustar el indicador, de manera que refleje de forma más precisa la gestión de inventarios y no se limite únicamente a la generación de reportes.</v>
      </c>
    </row>
    <row r="10" spans="2:12" ht="36" customHeight="1" thickBot="1" x14ac:dyDescent="0.25">
      <c r="B10" s="130" t="s">
        <v>568</v>
      </c>
      <c r="C10" s="118">
        <f>AVERAGE(C4:C9)</f>
        <v>0.13020833333333334</v>
      </c>
      <c r="D10" s="118">
        <f>AVERAGE(D4:D9)</f>
        <v>0.26874999999999999</v>
      </c>
      <c r="E10" s="118">
        <f>AVERAGE(E4:E9)</f>
        <v>0.10694444444444444</v>
      </c>
      <c r="F10" s="118">
        <f>AVERAGE(F4:F9)</f>
        <v>0.19770491042420865</v>
      </c>
      <c r="G10" s="118">
        <f>AVERAGE(G4:G9)</f>
        <v>0.70360768820198638</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316F-9968-4001-8CCA-689D7592DDF9}">
  <dimension ref="B1:L11"/>
  <sheetViews>
    <sheetView topLeftCell="A6" zoomScale="90" zoomScaleNormal="90" workbookViewId="0">
      <selection activeCell="A11" sqref="A11"/>
    </sheetView>
  </sheetViews>
  <sheetFormatPr baseColWidth="10" defaultColWidth="10.85546875" defaultRowHeight="14.25" x14ac:dyDescent="0.2"/>
  <cols>
    <col min="1" max="1" width="5.42578125" style="98" customWidth="1"/>
    <col min="2" max="2" width="48.42578125" style="98" customWidth="1"/>
    <col min="3" max="6" width="10.85546875" style="98"/>
    <col min="7" max="7" width="17.140625" style="98" customWidth="1"/>
    <col min="8" max="8" width="6" style="98" customWidth="1"/>
    <col min="9" max="12" width="60.7109375" style="98" customWidth="1"/>
    <col min="13" max="16384" width="10.85546875" style="98"/>
  </cols>
  <sheetData>
    <row r="1" spans="2:12" ht="15" thickBot="1" x14ac:dyDescent="0.25"/>
    <row r="2" spans="2:12" ht="15.75" thickBot="1" x14ac:dyDescent="0.3">
      <c r="B2" s="285" t="s">
        <v>583</v>
      </c>
      <c r="C2" s="285"/>
      <c r="D2" s="285"/>
      <c r="E2" s="285"/>
      <c r="F2" s="285"/>
      <c r="G2" s="285"/>
      <c r="I2" s="285" t="s">
        <v>558</v>
      </c>
      <c r="J2" s="285"/>
      <c r="K2" s="285"/>
      <c r="L2" s="285"/>
    </row>
    <row r="3" spans="2:12" ht="45.75" thickBot="1" x14ac:dyDescent="0.25">
      <c r="B3" s="120" t="s">
        <v>559</v>
      </c>
      <c r="C3" s="120" t="s">
        <v>560</v>
      </c>
      <c r="D3" s="120" t="s">
        <v>561</v>
      </c>
      <c r="E3" s="120" t="s">
        <v>562</v>
      </c>
      <c r="F3" s="120" t="s">
        <v>563</v>
      </c>
      <c r="G3" s="120" t="s">
        <v>576</v>
      </c>
      <c r="I3" s="121" t="s">
        <v>564</v>
      </c>
      <c r="J3" s="121" t="s">
        <v>565</v>
      </c>
      <c r="K3" s="121" t="s">
        <v>566</v>
      </c>
      <c r="L3" s="121" t="s">
        <v>567</v>
      </c>
    </row>
    <row r="4" spans="2:12" ht="177.75" customHeight="1" thickBot="1" x14ac:dyDescent="0.25">
      <c r="B4" s="141" t="str">
        <f>+'Plan de acción 2025'!H51</f>
        <v xml:space="preserve">Generar información financiera a la alta gerencia necesaria para la Administración del Presupuesto de manera eficiente. </v>
      </c>
      <c r="C4" s="140">
        <f>IF('Plan de acción 2025'!W51="N/A",0,'Plan de acción 2025'!W51)</f>
        <v>0.21310268141663374</v>
      </c>
      <c r="D4" s="140">
        <f>IF('Plan de acción 2025'!Z51="N/A",0,'Plan de acción 2025'!Z51)</f>
        <v>0.19702975929795485</v>
      </c>
      <c r="E4" s="140">
        <f>IF('Plan de acción 2025'!AC51="N/A",0,'Plan de acción 2025'!AC51)</f>
        <v>0.23024609316191816</v>
      </c>
      <c r="F4" s="140">
        <f>IF('Plan de acción 2025'!AF51="N/A",0,'Plan de acción 2025'!AF51)</f>
        <v>0.26347249668964628</v>
      </c>
      <c r="G4" s="140">
        <f t="shared" ref="G4:G10" si="0">SUMIF(C4:F4,"&gt;0",C4:F4)</f>
        <v>0.90385103056615312</v>
      </c>
      <c r="I4" s="144" t="str">
        <f>+'Plan de acción 2025'!$AL$51</f>
        <v>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v>
      </c>
      <c r="J4" s="144" t="str">
        <f>+'Plan de acción 2025'!$AN$51</f>
        <v>De acuerdo con las evidencias reportadas, el proceso registra un recaudo total de $14.720.021.003 frente a una meta proyectada de $12.967.610.882, lo que a primera vista reflejaría el cumplimiento del indicador. Sin embargo, se aclara que de dicho valor, $4.500.000.000 corresponden a una adición presupuestal por excedentes financieros en el mes de junio. En ese sentido, el recaudo real por concepto de capital e intereses asciende a $10.220.021.003, lo que equivale al 78,81% de cumplimiento frente a lo proyectado.
Se recomienda al proceso continuar consolidando y presentando de manera clara la información financiera, diferenciando los recursos por tipo de ingreso y resaltando los avances frente a la meta proyectada, de forma que se facilite la trazabilidad y la toma de decisiones. Adicionalmente, se sugiere emitir oportunamente alertas a la alta gerencia frente al incumplimiento de las metas de recaudo, con el fin de que se puedan adoptar acciones correctivas en los siguientes trimestres.</v>
      </c>
      <c r="K4" s="144" t="str">
        <f>+'Plan de acción 2025'!$AP$51</f>
        <v>De acuerdo con las evidencias reportadas, el proceso registra un recaudo total de $11.799.944.625 frente a una meta proyectada de $12.812.317.697, por lo cual el indicador cumple parcialmente, dado que el recaudo alcanza aproximadamente el 90% de la meta establecida. Se recomienda al proceso fortalecer las estrategias de gestión y seguimiento del recaudo, identificando las fuentes con menor desempeño y realizando ajustes tempranos que permitan cerrar la brecha en los próximos trimestres, así como emitir alertas oportunas a la alta gerencia para facilitar la toma de decisiones correctivas.</v>
      </c>
      <c r="L4" s="144" t="str">
        <f>+'Plan de acción 2025'!$AR$51</f>
        <v>De acuerdo con las evidencias reportadas, el indicador relacionado con los ingresos presupuestales se cumple en el cuarto trimestre, dado que el proceso registra un recaudo total de $13.888.531.107, el cual supera el valor programado en el PAC de $13.178.350.000.
Se recomienda al proceso fortalecer los mecanismos de planeación, seguimiento y control del recaudo presupuestal, con el fin de mejorar resultados favorables en las próximas vigencias.</v>
      </c>
    </row>
    <row r="5" spans="2:12" ht="111.75" customHeight="1" thickBot="1" x14ac:dyDescent="0.25">
      <c r="B5" s="141" t="str">
        <f>+'Plan de acción 2025'!H52</f>
        <v xml:space="preserve">Generar información financiera a la alta gerencia necesaria para la Administración del Presupuesto de manera eficiente. </v>
      </c>
      <c r="C5" s="140">
        <f>IF('Plan de acción 2025'!W52="N/A",0,'Plan de acción 2025'!W52)</f>
        <v>0.24248611631411762</v>
      </c>
      <c r="D5" s="140">
        <f>IF('Plan de acción 2025'!Z52="N/A",0,'Plan de acción 2025'!Z52)</f>
        <v>0.23220841731376685</v>
      </c>
      <c r="E5" s="140">
        <f>IF('Plan de acción 2025'!AC52="N/A",0,'Plan de acción 2025'!AC52)</f>
        <v>0.34203228310332151</v>
      </c>
      <c r="F5" s="140">
        <f>IF('Plan de acción 2025'!AF52="N/A",0,'Plan de acción 2025'!AF52)</f>
        <v>0.20608724698084357</v>
      </c>
      <c r="G5" s="140">
        <f t="shared" si="0"/>
        <v>1.0228140637120497</v>
      </c>
      <c r="I5" s="144" t="str">
        <f>+'Plan de acción 2025'!$AL$52</f>
        <v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v>
      </c>
      <c r="J5" s="144" t="str">
        <f>+'Plan de acción 2025'!$AN$52</f>
        <v>De acuerdo con las evidencias presentadas por el proceso, se revisa que se tenía presupuestado ejecutar $12.967.610.882, de los cuales se apropiaron $12.044.753.597, lo que corresponde a un 92,87% de cumplimiento frente a lo proyectado.
Si bien la ejecución del gasto se ajusta a lo planeado, se evidencia que los ingresos no son suficientes para respaldar en su totalidad las apropiaciones realizadas. Se recomienda al proceso continuar con el seguimiento financiero y emitir las alertas correspondientes a la alta gerencia, de manera que se puedan evaluar medidas que garanticen la sostenibilidad presupuestal.</v>
      </c>
      <c r="K5" s="144" t="str">
        <f>+'Plan de acción 2025'!$AP$52</f>
        <v>De acuerdo con las evidencias, el indicador no se cumple, ya que se tenía programado ejecutar gastos por $12.812.317.697 y finalmente se ejecutaron $17.528.905.095, evidenciando una sobre-ejecución significativa. Además, los ingresos registrados no superan los valores ejecutados. Se recomienda al proceso fortalecer el control presupuestal, revisar las causas de la sobre-ejecución y ajustar los mecanismos de planeación y seguimiento para evitar desviaciones similares en los próximos trimestres.</v>
      </c>
      <c r="L5" s="144" t="str">
        <f>+'Plan de acción 2025'!$AR$52</f>
        <v xml:space="preserve">De acuerdo con el Plan Anual de Caja (PAC) 2025, para el cuarto trimestre se tenía programada la ejecución de gastos por valor de $13.178.350.000; sin embargo, la ejecución fue de $10.903.598.710, lo que representa un nivel de cumplimiento del 83% frente a lo proyectado para el periodo. Si bien el porcentaje de ejecución trimestral se mantiene dentro de un rango aceptable de cumplimiento, se recomienda al proceso revisar y ajustar los mecanismos de planeación y seguimiento presupuestal, particularmente en la articulación entre ingresos y egresos, considerando que en el acumulado anual la entidad registró un nivel de gasto superior al recaudo. Se sugiere fortalecer el monitoreo financiero periódico, el análisis de desviaciones y la adopción de medidas correctivas oportunas que permitan garantizar el equilibrio presupuestal y la sostenibilidad financiera de la entidad.
</v>
      </c>
    </row>
    <row r="6" spans="2:12" ht="117.75" customHeight="1" thickBot="1" x14ac:dyDescent="0.25">
      <c r="B6" s="141" t="str">
        <f>+'Plan de acción 2025'!H53</f>
        <v xml:space="preserve">Generar y reportar la Información financiera y presupuestal a los entes de control y de fiscalización de manera oportuna a través de las plataformas oficiales. </v>
      </c>
      <c r="C6" s="140">
        <f>IF('Plan de acción 2025'!W53="N/A",0,'Plan de acción 2025'!W53)</f>
        <v>0.25</v>
      </c>
      <c r="D6" s="140">
        <f>IF('Plan de acción 2025'!Z53="N/A",0,'Plan de acción 2025'!Z53)</f>
        <v>0.25</v>
      </c>
      <c r="E6" s="140">
        <f>IF('Plan de acción 2025'!AC53="N/A",0,'Plan de acción 2025'!AC53)</f>
        <v>0.25</v>
      </c>
      <c r="F6" s="140">
        <f>IF('Plan de acción 2025'!AF53="N/A",0,'Plan de acción 2025'!AF53)</f>
        <v>0.25</v>
      </c>
      <c r="G6" s="140">
        <f t="shared" si="0"/>
        <v>1</v>
      </c>
      <c r="I6" s="144" t="str">
        <f>+'Plan de acción 2025'!$AL$53</f>
        <v>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v>
      </c>
      <c r="J6" s="144" t="str">
        <f>+'Plan de acción 2025'!$AN$53</f>
        <v>De acuerdo con las evidencias presentadas, el proceso cumple con el indicador, ya que se tenían programados 8 informes correspondientes a los reportes departamentales, nacionales, impuestos y estampillas, y se presentaron en su totalidad los 8 (100% de cumplimiento). Se recomienda al proceso mantener esta dinámica de gestión y asegurar que los informes continúen siendo entregados dentro de los plazos establecidos, garantizando la oportunidad y calidad de la información reportada.</v>
      </c>
      <c r="K6" s="144" t="str">
        <f>+'Plan de acción 2025'!$AP$53</f>
        <v>De acuerdo con las evidencias presentadas, el proceso cumple con el indicador, ya que se tenían programados 6 informes correspondientes a los reportes departamentales, nacionales, impuestos y estampillas, y todos fueron entregados en su totalidad y en las fechas establecidas. Se recomienda al proceso mantener esta dinámica de gestión, asegurando que los informes continúen presentándose dentro de los plazos  y conservando la calidad y oportunidad de la información reportada.</v>
      </c>
      <c r="L6" s="144" t="str">
        <f>+'Plan de acción 2025'!$AR$53</f>
        <v>De acuerdo con las evidencias presentadas, el proceso cumple con el indicador, ya que se tenían programados 6 informes correspondientes a los reportes departamentales, nacionales, impuestos y estampillas, y todos fueron entregados en su totalidad y en las fechas establecidas. Se recomienda al proceso mantener esta dinámica de gestión, asegurando que los informes continúen presentándose dentro de los plazos  y conservando la calidad y oportunidad de la información reportada.</v>
      </c>
    </row>
    <row r="7" spans="2:12" ht="133.5" customHeight="1" thickBot="1" x14ac:dyDescent="0.25">
      <c r="B7" s="141" t="str">
        <f>+'Plan de acción 2025'!H54</f>
        <v xml:space="preserve">Ejecución mensual de conciliaciones bancarias de todas las cuentas de la entidad con los bancos correspondientes que se ajusten a los procedimientos establecidos  institucionalmente. </v>
      </c>
      <c r="C7" s="140">
        <f>IF('Plan de acción 2025'!W54="N/A",0,'Plan de acción 2025'!W54)</f>
        <v>0.23529411764705882</v>
      </c>
      <c r="D7" s="140">
        <f>IF('Plan de acción 2025'!Z54="N/A",0,'Plan de acción 2025'!Z54)</f>
        <v>0.23529411764705882</v>
      </c>
      <c r="E7" s="140">
        <f>IF('Plan de acción 2025'!AC54="N/A",0,'Plan de acción 2025'!AC54)</f>
        <v>0.17647058823529413</v>
      </c>
      <c r="F7" s="140">
        <f>IF('Plan de acción 2025'!AF54="N/A",0,'Plan de acción 2025'!AF54)</f>
        <v>0</v>
      </c>
      <c r="G7" s="140">
        <f t="shared" si="0"/>
        <v>0.6470588235294118</v>
      </c>
      <c r="I7" s="144" t="str">
        <f>+'Plan de acción 2025'!$AL$54</f>
        <v>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v>
      </c>
      <c r="J7" s="144" t="str">
        <f>+'Plan de acción 2025'!$AN$54</f>
        <v>De acuerdo con las evidencias presentadas, el proceso elaboró 16 conciliaciones bancarias de las 17 cuentas activas de la entidad hasta junio, lo que corresponde a un 94,12% de cumplimiento del indicador. Adicionalmente, se evidencia que se adelantaron algunas conciliaciones de cuentas que habían quedado pendientes en el primer trimestre, dándoles el respectivo avance.
Se recomienda al proceso adelantar oportunamente el registro en libros de los diferentes movimientos identificados en las conciliaciones, como los rendimientos financieros, con el fin de evitar retrasos y garantizar que la información contable refleje valores reales y actualizados.</v>
      </c>
      <c r="K7" s="144" t="str">
        <f>+'Plan de acción 2025'!$AP$54</f>
        <v>De acuerdo con las evidencias presentadas, el proceso cumple parcialmente con el indicador, ya que elaboró 12 conciliaciones bancarias completas de las 17 cuentas activas de la entidad hasta septiembre. Se recomienda al proceso adelantar oportunamente el registro en libros de los movimientos identificados en las conciliaciones, incluyendo rendimientos financieros y otros ajustes, para evitar retrasos y asegurar que la información contable refleje valores reales y actualizados. Asimismo, se sugiere completar las conciliaciones pendientes de las cuentas que solo registran avance hasta junio y julio, con el fin de alcanzar el total de las cuentas conciliadas. Se avanza en el cumplimient de trimestres anteriores.</v>
      </c>
      <c r="L7" s="144" t="str">
        <f>+'Plan de acción 2025'!$AR$54</f>
        <v>De acuerdo con las evidencias presentadas, el indicador presenta un cumplimiento parcial, toda vez que durante el mes de octubre se realizaron doce (12) conciliaciones bancarias completas de las diecisiete (17) cuentas activas de la entidad; en el mes de noviembre se efectuaron once (11) conciliaciones bancarias de las diecisiete (17) cuentas activas; y para el mes de diciembre no se reportan conciliaciones, debido a que a la fecha se encuentran en proceso de elaboración.</v>
      </c>
    </row>
    <row r="8" spans="2:12" ht="107.25" customHeight="1" thickBot="1" x14ac:dyDescent="0.25">
      <c r="B8" s="141" t="str">
        <f>+'Plan de acción 2025'!H55</f>
        <v xml:space="preserve">Registrar en el sistema los recaudos provenientes de las diferentes líneas de crédito con que cuenta la entidad, para garantizar el proceso de desgloce y conciliaciones </v>
      </c>
      <c r="C8" s="140">
        <f>IF('Plan de acción 2025'!W55="N/A",0,'Plan de acción 2025'!W55)</f>
        <v>0.19916901188707337</v>
      </c>
      <c r="D8" s="140">
        <f>IF('Plan de acción 2025'!Z55="N/A",0,'Plan de acción 2025'!Z55)</f>
        <v>0.1853308304335346</v>
      </c>
      <c r="E8" s="140">
        <f>IF('Plan de acción 2025'!AC55="N/A",0,'Plan de acción 2025'!AC55)</f>
        <v>0.20179754385523022</v>
      </c>
      <c r="F8" s="140">
        <f>IF('Plan de acción 2025'!AF55="N/A",0,'Plan de acción 2025'!AF55)</f>
        <v>0.22766276402205132</v>
      </c>
      <c r="G8" s="140">
        <f t="shared" si="0"/>
        <v>0.81396015019788948</v>
      </c>
      <c r="I8" s="144" t="str">
        <f>+'Plan de acción 2025'!$AL$55</f>
        <v>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v>
      </c>
      <c r="J8" s="144" t="str">
        <f>+'Plan de acción 2025'!$AN$55</f>
        <v>De acuerdo con las evidencias aportadas por el proceso de Tesorería, se registraron $9.613.192.374 de ingreso tesoral frente a unos ingresos proyectados de $12.967.610.882, lo que corresponde a un 74,12% de cumplimiento parcial del indicador.
Se recomienda al proceso de Tesorería mantener el seguimiento a los ingresos evitando que nada se quede sin registrar y emitiendo las alertas pertinentes a la alta gerencia frente al incumplimiento de la meta proyectada, con el fin de que se adopten decisiones oportunas que garanticen la sostenibilidad financiera de la entidad.</v>
      </c>
      <c r="K8" s="144" t="str">
        <f>+'Plan de acción 2025'!$AP$55</f>
        <v>De acuerdo con las evidencias aportadas, el proceso cumple parcualmente con el indicador, ya que el recaudo tesoral alcanzó $10.341.976.969 frente a los $12.812.317.967 proyectados en el PAC. Si bien se han implementado estrategias de recuperación, que se encuentran vigentes, se recomienda al proceso continuar el seguimiento a los ingresos, garantizando que no queden valores sin registrar y emitiendo alertas oportunas a la alta gerencia frente a lso recuados de cada mes, de manera que se puedan adoptar decisiones que contribuyan a la sostenibilidad financiera de la entidad.</v>
      </c>
      <c r="L8" s="144" t="str">
        <f>+'Plan de acción 2025'!$AR$55</f>
        <v>El proceso cumple parcialmente con el indicador, dado que el recaudo tesoral alcanzó $12.023.217.449, frente a los $12.878.350.000 proyectados en el PAC. Aunque se han implementado estrategias de recuperación vigentes, se recomienda continuar el seguimiento de los ingresos, asegurando que todos los valores sean correctamente registrados y generando alertas oportunas a la alta gerencia sobre los recaudos mensuales, con el fin de facilitar la toma de decisiones que fortalezcan la sostenibilidad financiera de la entidad.</v>
      </c>
    </row>
    <row r="9" spans="2:12" ht="126" customHeight="1" thickBot="1" x14ac:dyDescent="0.25">
      <c r="B9" s="141" t="str">
        <f>+'Plan de acción 2025'!H56</f>
        <v xml:space="preserve">Registrar en el sistema los egresos correspondiente a las obligaciones contraidas por la entidad. </v>
      </c>
      <c r="C9" s="140">
        <f>IF('Plan de acción 2025'!W56="N/A",0,'Plan de acción 2025'!W56)</f>
        <v>0.11325059151185536</v>
      </c>
      <c r="D9" s="140">
        <f>IF('Plan de acción 2025'!Z56="N/A",0,'Plan de acción 2025'!Z56)</f>
        <v>0.2228395372937286</v>
      </c>
      <c r="E9" s="140">
        <f>IF('Plan de acción 2025'!AC56="N/A",0,'Plan de acción 2025'!AC56)</f>
        <v>0.30173922001892894</v>
      </c>
      <c r="F9" s="140">
        <f>IF('Plan de acción 2025'!AF56="N/A",0,'Plan de acción 2025'!AF56)</f>
        <v>0.3030953263496568</v>
      </c>
      <c r="G9" s="140">
        <f>SUMIF(C9:F9,"&gt;0",C9:F9)</f>
        <v>0.94092467517416978</v>
      </c>
      <c r="I9" s="144" t="str">
        <f>+'Plan de acción 2025'!$AL$56</f>
        <v>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v>
      </c>
      <c r="J9" s="144" t="str">
        <f>+'Plan de acción 2025'!$AN$56</f>
        <v>De acuerdo con las evidencias presentadas por el proceso, los egresos tesorales de la entidad durante el trimestre suman $11.558.785.635, frente a un valor proyectado de $12.967.610.882, lo que representa un cumplimiento del 89,14%. Sí cumple, dado que el gasto se encuentra por debajo de lo proyectado.
Si bien los egresos se encuentran ajustados a la planeación, se identifica que los ingresos tesorales son inferiores al gasto ejecutado, lo cual puede generar riesgos de sostenibilidad financiera. Se recomienda al proceso continuar el seguimiento conjunto entre ingresos y egresos, así como generar alertas oportunas a la alta gerencia frente a los posibles desbalances.</v>
      </c>
      <c r="K9" s="144" t="str">
        <f>+'Plan de acción 2025'!$AP$56</f>
        <v>De acuerdo con las evidencias presentadas por el proceso, los egresos tesorales del trimestre ascienden a $15.463.914.994, superando el valor proyectado de $12.812.317.697, por lo cual el indicador no se cumple, evidenciándose una ejecución alta del gasto. Asimismo, los ingresos tesorales resultan inferiores al gasto ejecutado, lo que representa un riesgo para la sostenibilidad financiera de la entidad. Se recomienda al proceso emitir alertas tempranas a la alta gerencia frente a estas desviaciones, de manera que se puedan adoptar decisiones oportunas que permitan ajustar la ejecución presupuestal y mitigar los riesgos financieros futuros.</v>
      </c>
      <c r="L9" s="144" t="str">
        <f>+'Plan de acción 2025'!$AR$56</f>
        <v xml:space="preserve">De acuerdo con el seguimiento realizado se videncia diferencias entre ingresos y gasos ejecutados por lo cual se recomienda realizar un comité contable para evaluar alternativas de incremento de recaudo y disminución de gastos. </v>
      </c>
    </row>
    <row r="10" spans="2:12" ht="120.75" customHeight="1" thickBot="1" x14ac:dyDescent="0.25">
      <c r="B10" s="141" t="str">
        <f>+'Plan de acción 2025'!H57</f>
        <v xml:space="preserve">Realizar la gestión con entidades bancarias y afiliados para identificar y regularizar las consignaciones sin identificar registradas en el reporte TES 105, asegurando su correcta asignación </v>
      </c>
      <c r="C10" s="140">
        <f>IF('Plan de acción 2025'!W57="N/A",0,'Plan de acción 2025'!W57)</f>
        <v>0.23214285714285715</v>
      </c>
      <c r="D10" s="140">
        <f>IF('Plan de acción 2025'!Z57="N/A",0,'Plan de acción 2025'!Z57)</f>
        <v>0.1875</v>
      </c>
      <c r="E10" s="140">
        <f>IF('Plan de acción 2025'!AC57="N/A",0,'Plan de acción 2025'!AC57)</f>
        <v>0.12931034482758622</v>
      </c>
      <c r="F10" s="140">
        <f>IF('Plan de acción 2025'!AF57="N/A",0,'Plan de acción 2025'!AF57)</f>
        <v>0</v>
      </c>
      <c r="G10" s="140">
        <f t="shared" si="0"/>
        <v>0.54895320197044339</v>
      </c>
      <c r="I10" s="145" t="str">
        <f>+'Plan de acción 2025'!$AL$57</f>
        <v>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v>
      </c>
      <c r="J10" s="145" t="str">
        <f>+'Plan de acción 2025'!$AN$57</f>
        <v>De acuerdo con el reporte TES-105, al 30 de junio de 2025 el proceso contaba con 12 registros sin identificar. Aunque este reporte es dinámico y va variando, se evidencian 3 registros del periodo anterior que aún no han sido gestionados. A pesar de ello, se permite considerar que el proceso cumple con el indicador.
Aunque esta actividad resulta dispendiosa y demanda tiempo, se recomienda al proceso continuar con la gestión oportuna de estas consignaciones, dado que su identificación contribuye a descongestionar las cuentas, evita el reporte de saldos erróneos a los deudores y mejora la calidad de la información en los estados de cartera. Es importante que se logre la clasificación de los registros correspondientes a los meses de febrero y marzo, por un valor de $500.000.</v>
      </c>
      <c r="K10" s="145" t="str">
        <f>+'Plan de acción 2025'!$AP$57</f>
        <v>De acuerdo con el reporte TES-105, al 30 de septiembre de 2025 el proceso registraba 29 consignaciones sin identificar y, a inicios de octubre, esta cifra disminuyó a 14. Aunque el reporte es dinámico y varía constantemente, se evidencian registros de periodos anteriores que aún no han sido gestionados. No obstante, se considera que el proceso cumple con el indicador. Se recomienda al proceso mantener la gestión oportuna de estas consignaciones, priorizando la depuración de los registros anteriores, ya que su identificación contribuye a descongestionar las cuentas, evita el reporte de saldos erróneos a los deudores y mejora la calidad de la información en los estados de cartera.</v>
      </c>
      <c r="L10" s="145" t="str">
        <f>+'Plan de acción 2025'!$AR$57</f>
        <v>De acuerdo con las evidencias aportadas por el proceso, no se cumple con el indicador, toda vez que se registran cincuenta y dos  (52) consignaciones sin identificar por un valor total de $76.181.275, correspondientes a operaciones desde el mes de febrero, sobre las cuales no se evidencia gestión. Adicionalmente, se observa que en el reporte TES105 se incluyen cuentas que ya han sido identificadas y cuentan con nombre, número de crédito y línea, pero que aún no han sido procesadas.</v>
      </c>
    </row>
    <row r="11" spans="2:12" ht="33.75" customHeight="1" thickBot="1" x14ac:dyDescent="0.25">
      <c r="B11" s="130" t="s">
        <v>568</v>
      </c>
      <c r="C11" s="118">
        <f>AVERAGE(C4:C10)</f>
        <v>0.21220648227422803</v>
      </c>
      <c r="D11" s="118">
        <f>AVERAGE(D4:D10)</f>
        <v>0.21574323742657769</v>
      </c>
      <c r="E11" s="118">
        <f>AVERAGE(E4:E10)</f>
        <v>0.23308515331461135</v>
      </c>
      <c r="F11" s="118">
        <f>AVERAGE(F4:F10)</f>
        <v>0.17861683343459972</v>
      </c>
      <c r="G11" s="118">
        <f>AVERAGE(G4:G10)</f>
        <v>0.83965170645001663</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DFE2-8696-48AC-B48E-6A3F3B923FF4}">
  <dimension ref="B1:L9"/>
  <sheetViews>
    <sheetView topLeftCell="F1" zoomScale="90" zoomScaleNormal="90" workbookViewId="0">
      <selection activeCell="L3" sqref="L3"/>
    </sheetView>
  </sheetViews>
  <sheetFormatPr baseColWidth="10" defaultColWidth="10.85546875" defaultRowHeight="14.25" x14ac:dyDescent="0.2"/>
  <cols>
    <col min="1" max="1" width="4.42578125" style="98" customWidth="1"/>
    <col min="2" max="2" width="38.85546875" style="98" customWidth="1"/>
    <col min="3" max="6" width="10.85546875" style="98"/>
    <col min="7" max="7" width="17.42578125" style="98" customWidth="1"/>
    <col min="8" max="8" width="6" style="98" customWidth="1"/>
    <col min="9" max="12" width="63.42578125" style="98" customWidth="1"/>
    <col min="13" max="16384" width="10.85546875" style="98"/>
  </cols>
  <sheetData>
    <row r="1" spans="2:12" ht="15" thickBot="1" x14ac:dyDescent="0.25"/>
    <row r="2" spans="2:12" s="119" customFormat="1" ht="27.75" customHeight="1" thickBot="1" x14ac:dyDescent="0.3">
      <c r="B2" s="287" t="s">
        <v>584</v>
      </c>
      <c r="C2" s="287"/>
      <c r="D2" s="287"/>
      <c r="E2" s="287"/>
      <c r="F2" s="287"/>
      <c r="G2" s="287"/>
      <c r="I2" s="287" t="s">
        <v>558</v>
      </c>
      <c r="J2" s="287"/>
      <c r="K2" s="287"/>
      <c r="L2" s="287"/>
    </row>
    <row r="3" spans="2:12" ht="45.75" thickBot="1" x14ac:dyDescent="0.25">
      <c r="B3" s="120" t="s">
        <v>559</v>
      </c>
      <c r="C3" s="120" t="s">
        <v>560</v>
      </c>
      <c r="D3" s="120" t="s">
        <v>561</v>
      </c>
      <c r="E3" s="120" t="s">
        <v>562</v>
      </c>
      <c r="F3" s="120" t="s">
        <v>563</v>
      </c>
      <c r="G3" s="120" t="s">
        <v>576</v>
      </c>
      <c r="I3" s="121" t="s">
        <v>564</v>
      </c>
      <c r="J3" s="121" t="s">
        <v>565</v>
      </c>
      <c r="K3" s="121" t="s">
        <v>566</v>
      </c>
      <c r="L3" s="121" t="s">
        <v>567</v>
      </c>
    </row>
    <row r="4" spans="2:12" ht="144.75" customHeight="1" thickBot="1" x14ac:dyDescent="0.25">
      <c r="B4" s="135" t="str">
        <f>+'Plan de acción 2025'!H58</f>
        <v xml:space="preserve">Revisar los procesos judiciales en aras de obtener el recaudo  de los dineros prestados a los usuarios </v>
      </c>
      <c r="C4" s="140">
        <f>IF('Plan de acción 2025'!W58="N/A",0,'Plan de acción 2025'!W58)</f>
        <v>0.16694444444444445</v>
      </c>
      <c r="D4" s="140">
        <f>IF('Plan de acción 2025'!Z58="N/A",0,'Plan de acción 2025'!Z58)</f>
        <v>0.33144430051813473</v>
      </c>
      <c r="E4" s="140">
        <f>IF('Plan de acción 2025'!AC58="N/A",0,'Plan de acción 2025'!AC58)</f>
        <v>0.23034551827741612</v>
      </c>
      <c r="F4" s="140">
        <f>IF('Plan de acción 2025'!AF58="N/A",0,'Plan de acción 2025'!AF58)</f>
        <v>0.19817225838758137</v>
      </c>
      <c r="G4" s="140">
        <f>SUMIF(C4:F4,"&gt;0",C4:F4)</f>
        <v>0.9269065216275767</v>
      </c>
      <c r="I4" s="144" t="str">
        <f>+'Plan de acción 2025'!$AL$58</f>
        <v>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v>
      </c>
      <c r="J4" s="144" t="str">
        <f>+'Plan de acción 2025'!$AN$58</f>
        <v>De acuerdo con las evidencias aportadas, el proceso revisó 2.047 expedientes correspondientes a Bogotá, superando el número de procesos activos debido a que algunos expedientes fueron revisados en varias oportunidades según la necesidad. Aunque en apariencia el indicador se cumple, se identifica que cerca de 500 procesos del Departamento no están siendo atendidos. Se recomienda al proceso elaborar un plan que le permita llegar a los municipios y garantizar el seguimiento de aquellos casos que aún no han sido revisados, así como revisar y actualizar el indicador para que permita medir de manera real la gestión del proceso y el avance en el cobro de la cartera en estado jurídico.</v>
      </c>
      <c r="K4" s="144" t="str">
        <f>+'Plan de acción 2025'!$AP$58</f>
        <v>De acuerdo con la información consultada en el proceso, el indicador asociado a la gestión de cobros jurídicos se cumple, toda vez que de los mil novecientos noventa y siete (1.997) procesos activos en estado jurídico, se realizó consulta en la Rama Judicial a mil ochocientos cuarenta (1.840) de ellos, evidenciando una gestión significativa sobre el total de los casos.
Se recomienda al proceso mantener el seguimiento periódico y sistemático de los procesos jurídicos, asegurando la actualización oportuna de la información y la conservación de los soportes que permitan demostrar la gestión realizada, con el fin de garantizar la trazabilidad y el control efectivo de los cobros jurídicos.?</v>
      </c>
      <c r="L4" s="144" t="str">
        <f>+'Plan de acción 2025'!$AR$58</f>
        <v>De acuerdo con la información reportada para el trimestre evaluado, el indicador asociado a la gestión de cobros jurídicos presenta cumplimiento parcial, toda vez que de los mil novecientos noventa y siete (1.997) procesos activos en estado jurídico, se efectuó revisión en la Rama Judicial a mil quinientos ochenta y tres (1.583), evidenciándose una disminución en la cobertura del seguimiento respecto del total de casos.
Se recomienda al proceso fortalecer la metodología de gestión y seguimiento del cobro jurídico, evaluando la posibilidad de incorporar herramientas tecnológicas que optimicen la consulta y trazabilidad de los procesos, o considerar el apoyo especializado externo que permita mejorar la eficiencia operativa y reducir el número de afiliados morosos en estado jurídico.</v>
      </c>
    </row>
    <row r="5" spans="2:12" ht="130.5" customHeight="1" thickBot="1" x14ac:dyDescent="0.25">
      <c r="B5" s="135" t="str">
        <f>+'Plan de acción 2025'!H59</f>
        <v xml:space="preserve">Realizar  seguimientos mensuales a la implementación de la política del plan de prevención del daño antijuridico </v>
      </c>
      <c r="C5" s="140">
        <f>IF('Plan de acción 2025'!W59="N/A",0,'Plan de acción 2025'!W59)</f>
        <v>0</v>
      </c>
      <c r="D5" s="140">
        <f>IF('Plan de acción 2025'!Z59="N/A",0,'Plan de acción 2025'!Z59)</f>
        <v>0.5</v>
      </c>
      <c r="E5" s="140">
        <f>IF('Plan de acción 2025'!AC59="N/A",0,'Plan de acción 2025'!AC59)</f>
        <v>0</v>
      </c>
      <c r="F5" s="140">
        <f>IF('Plan de acción 2025'!AF59="N/A",0,'Plan de acción 2025'!AF59)</f>
        <v>0.5</v>
      </c>
      <c r="G5" s="140">
        <f>SUMIF(C5:F5,"&gt;0",C5:F5)</f>
        <v>1</v>
      </c>
      <c r="I5" s="144" t="str">
        <f>+'Plan de acción 2025'!$AL$59</f>
        <v>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v>
      </c>
      <c r="J5" s="144" t="str">
        <f>+'Plan de acción 2025'!$AN$59</f>
        <v>De acuerdo con las evidencias aportadas, el proceso elaboró un informe semestral sobre las decisiones tomadas en las reuniones del comité; sin embargo, a la fecha dicho informe no ha sido aprobado por el mismo comité, por lo cual el indicador no se cumple. Se recomienda al proceso que para el siguiente trimestre se aporte el acta donde conste la aprobación del informe, y que en el mismo se incluyan conclusiones claras, así como las actividades pendientes que surjan de las reuniones.</v>
      </c>
      <c r="K5" s="144" t="str">
        <f>+'Plan de acción 2025'!$AP$59</f>
        <v xml:space="preserve">Para el presente trimestre el indiciador no presenta medición. Sin embargo, se evidencia mediante actas que el comité se ha venido reuniendo conforme a lo establecido. Así mismo, se evidencia que el informe presentado en el trimestre anterior aún no cuenta con la aprobación formal del comité.
En consecuencia, al no contar con aprobación el informe presentado, el indicador registra un avance del cincuenta por ciento (50%). </v>
      </c>
      <c r="L5" s="144" t="str">
        <f>+'Plan de acción 2025'!$AR$59</f>
        <v>De acuerdo con las evidencias revisadas, para el presente trimestre el proceso presentó el informe correspondiente; sin embargo, este no ha sido aprobado por el comité, por lo cual el cumplimiento del indicador es parcial. Se constata, mediante actas, que el comité se ha reunido con la periodicidad acordada y que las sesiones han sido debidamente documentadas.
Se recomienda al proceso gestionar oportunamente la aprobación formal de los informes presentados, dejando constancia expresa en acta, con el fin de garantizar el cumplimiento integral del indicador y la trazabilidad de las decisiones adoptadas por el comité de concilaición y defensa judicial..</v>
      </c>
    </row>
    <row r="6" spans="2:12" ht="129.75" customHeight="1" thickBot="1" x14ac:dyDescent="0.25">
      <c r="B6" s="135" t="str">
        <f>+'Plan de acción 2025'!H60</f>
        <v xml:space="preserve">Realizar  seguimiento al reporte de los procesos entregados a la firma de  representación judicial  en los que  se haya decretado  sentencia de prescripción de la acción cambiaria y desistimiento tácitos.   </v>
      </c>
      <c r="C6" s="140">
        <f>IF('Plan de acción 2025'!W60="N/A",0,'Plan de acción 2025'!W60)</f>
        <v>0</v>
      </c>
      <c r="D6" s="140">
        <f>IF('Plan de acción 2025'!Z60="N/A",0,'Plan de acción 2025'!Z60)</f>
        <v>7.6628352490421452E-3</v>
      </c>
      <c r="E6" s="140">
        <f>IF('Plan de acción 2025'!AC60="N/A",0,'Plan de acción 2025'!AC60)</f>
        <v>0</v>
      </c>
      <c r="F6" s="140">
        <f>IF('Plan de acción 2025'!AF60="N/A",0,'Plan de acción 2025'!AF60)</f>
        <v>8.2623935903855788E-3</v>
      </c>
      <c r="G6" s="140">
        <f>SUMIF(C6:F6,"&gt;0",C6:F6)</f>
        <v>1.5925228839427725E-2</v>
      </c>
      <c r="I6" s="145" t="str">
        <f>+'Plan de acción 2025'!$AL$60</f>
        <v>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v>
      </c>
      <c r="J6" s="145" t="str">
        <f>+'Plan de acción 2025'!$AN$60</f>
        <v>De acuerdo con las evidencias presentadas, el proceso realiza seguimiento a 1.044 procesos activos en la ciudad de Bogotá; sin embargo, durante el trimestre se presentaron 16 desistimientos, lo que indica que el indicador no se cumple, dado que no deben registrarse desistimientos. Adicionalmente, se evidencian procesos activos en los municipios cuyo estado no ha sido revisado. Se recomienda al proceso implementar un sistema de seguimiento en línea que le permita ser más eficiente, o en su defecto, generar nuevas estrategias que faciliten el control oportuno de todos los procesos, tanto en Bogotá como en los municipios del Departamento.</v>
      </c>
      <c r="K6" s="145" t="str">
        <f>+'Plan de acción 2025'!$AP$60</f>
        <v>Para este trimestre el indicador no presenta seguimiento; sin embargo, Se recomienda al proceso tener bajo control el seguimientoa losprocesos y el control sobre los terminos procesales, para que no se presenten desisitimientos durante el periodo.</v>
      </c>
      <c r="L6" s="145" t="str">
        <f>+'Plan de acción 2025'!$AR$60</f>
        <v xml:space="preserve">De acuerdo con las evidencias presentadas por el proceso, durante el semestre se registraron treinta y tres (33) desistimientos tácitos de un total de mil novecientos noventa y siete (1.997) procesos activos. En este sentido, el indicador no cumple, toda vez que no se debieron presentar desistimientos en los procesos gestionados.
Se recomienda al proceso fortalecer los mecanismos de seguimiento y control de los términos procesales, con el fin de evitar la ocurrencia de desistimientos tácitos y garantizar la gestión oportuna y efectiva de los procesos jurídicos. </v>
      </c>
    </row>
    <row r="7" spans="2:12" ht="31.5" customHeight="1" thickBot="1" x14ac:dyDescent="0.25">
      <c r="B7" s="130" t="s">
        <v>568</v>
      </c>
      <c r="C7" s="118">
        <f>AVERAGE(C4:C6)</f>
        <v>5.5648148148148148E-2</v>
      </c>
      <c r="D7" s="118">
        <f>AVERAGE(D4:D6)</f>
        <v>0.27970237858905894</v>
      </c>
      <c r="E7" s="118">
        <f>AVERAGE(E4:E6)</f>
        <v>7.6781839425805368E-2</v>
      </c>
      <c r="F7" s="118">
        <f>AVERAGE(F4:F6)</f>
        <v>0.23547821732598898</v>
      </c>
      <c r="G7" s="118">
        <f>AVERAGE(G4:G6)</f>
        <v>0.64761058348900147</v>
      </c>
    </row>
    <row r="9" spans="2:12" ht="15" x14ac:dyDescent="0.25">
      <c r="C9" s="147"/>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8C00-0DC4-4678-BE09-1608D82E4B43}">
  <dimension ref="B1:L10"/>
  <sheetViews>
    <sheetView topLeftCell="F1" zoomScale="85" zoomScaleNormal="85" workbookViewId="0">
      <selection activeCell="K1" sqref="K1"/>
    </sheetView>
  </sheetViews>
  <sheetFormatPr baseColWidth="10" defaultColWidth="10.85546875" defaultRowHeight="14.25" x14ac:dyDescent="0.2"/>
  <cols>
    <col min="1" max="1" width="10.85546875" style="98"/>
    <col min="2" max="2" width="40.140625" style="98" customWidth="1"/>
    <col min="3" max="6" width="10.85546875" style="98"/>
    <col min="7" max="7" width="23.42578125" style="98" customWidth="1"/>
    <col min="8" max="8" width="10.85546875" style="98"/>
    <col min="9" max="12" width="62" style="98" customWidth="1"/>
    <col min="13" max="16384" width="10.85546875" style="98"/>
  </cols>
  <sheetData>
    <row r="1" spans="2:12" ht="15" thickBot="1" x14ac:dyDescent="0.25"/>
    <row r="2" spans="2:12" ht="15.75" thickBot="1" x14ac:dyDescent="0.3">
      <c r="B2" s="285" t="s">
        <v>585</v>
      </c>
      <c r="C2" s="285"/>
      <c r="D2" s="285"/>
      <c r="E2" s="285"/>
      <c r="F2" s="285"/>
      <c r="G2" s="285"/>
      <c r="I2" s="287" t="s">
        <v>558</v>
      </c>
      <c r="J2" s="287"/>
      <c r="K2" s="287"/>
      <c r="L2" s="287"/>
    </row>
    <row r="3" spans="2:12" ht="30.75" thickBot="1" x14ac:dyDescent="0.25">
      <c r="B3" s="120" t="s">
        <v>559</v>
      </c>
      <c r="C3" s="120" t="s">
        <v>560</v>
      </c>
      <c r="D3" s="120" t="s">
        <v>561</v>
      </c>
      <c r="E3" s="120" t="s">
        <v>562</v>
      </c>
      <c r="F3" s="120" t="s">
        <v>563</v>
      </c>
      <c r="G3" s="120" t="s">
        <v>576</v>
      </c>
      <c r="I3" s="121" t="s">
        <v>564</v>
      </c>
      <c r="J3" s="121" t="s">
        <v>565</v>
      </c>
      <c r="K3" s="121" t="s">
        <v>566</v>
      </c>
      <c r="L3" s="121" t="s">
        <v>567</v>
      </c>
    </row>
    <row r="4" spans="2:12" ht="114.75" customHeight="1" thickBot="1" x14ac:dyDescent="0.25">
      <c r="B4" s="139" t="str">
        <f>+'Plan de acción 2025'!H61</f>
        <v xml:space="preserve">Planear y ejecutar el Plan anual de auditorías interna Integral de acuerdo al cronograma </v>
      </c>
      <c r="C4" s="140">
        <f>IF('Plan de acción 2025'!W61="N/A",0,'Plan de acción 2025'!W61)</f>
        <v>0</v>
      </c>
      <c r="D4" s="140">
        <f>IF('Plan de acción 2025'!Z61="N/A",0,'Plan de acción 2025'!Z61)</f>
        <v>1</v>
      </c>
      <c r="E4" s="140">
        <f>IF('Plan de acción 2025'!AC61="N/A",0,'Plan de acción 2025'!AC61)</f>
        <v>0</v>
      </c>
      <c r="F4" s="140">
        <f>IF('Plan de acción 2025'!AF61="N/A",0,'Plan de acción 2025'!AF61)</f>
        <v>0</v>
      </c>
      <c r="G4" s="140">
        <f t="shared" ref="G4:G9" si="0">SUMIF(C4:F4,"&gt;0",C4:F4)</f>
        <v>1</v>
      </c>
      <c r="I4" s="144" t="str">
        <f>+'Plan de acción 2025'!$AL$61</f>
        <v>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v>
      </c>
      <c r="J4" s="144" t="str">
        <f>+'Plan de acción 2025'!$AN$61</f>
        <v>El proceso cumple con el indicador, toda vez que, de acuerdo con el programa, se habían proyectado 11 auditorías y se ejecutaron en su totalidad durante el trimestre (100% de cumplimiento). Como evidencia se presentan los informes finales de cada una de las auditorías realizadas, los cuales ya fueron socializados con los responsables de los procesos auditados.
Se sugiere al proceso consolidar los hallazgos y observaciones identificadas en las auditorías con el fin de generar un análisis comparativo que permita identificar tendencias y priorizar acciones de mejora transversales para la entidad.</v>
      </c>
      <c r="K4" s="144" t="str">
        <f>+'Plan de acción 2025'!$AP$61</f>
        <v>Para el tercer trimestre no se presenta seguimiento al indicador, debido a que el proceso ejecutó el 100% de las auditorías programadas durante el segundo trimestre y no tiene actividades adicionales previstas para este periodo. Se recomienda al proceso mantener actualizada la programación anual de auditorías.</v>
      </c>
      <c r="L4" s="144" t="str">
        <f>+'Plan de acción 2025'!$AR$61</f>
        <v>Para el cuarto trimestre no se presenta seguimiento al indicador, debido a que el proceso ejecutó el 100% de las auditorías programadas durante el segundo trimestre y no tiene actividades adicionales previstas para este periodo. Se recomienda al proceso mantener actualizada la programación anual de auditorías.</v>
      </c>
    </row>
    <row r="5" spans="2:12" ht="130.5" customHeight="1" thickBot="1" x14ac:dyDescent="0.25">
      <c r="B5" s="139" t="str">
        <f>+'Plan de acción 2025'!H62</f>
        <v>Realizar los seguimientos a los planes de mejoramiento aprobados por la Contraloría Departamental</v>
      </c>
      <c r="C5" s="140">
        <f>IF('Plan de acción 2025'!W62="N/A",0,'Plan de acción 2025'!W62)</f>
        <v>0</v>
      </c>
      <c r="D5" s="140">
        <f>IF('Plan de acción 2025'!Z62="N/A",0,'Plan de acción 2025'!Z62)</f>
        <v>0</v>
      </c>
      <c r="E5" s="140">
        <f>IF('Plan de acción 2025'!AC62="N/A",0,'Plan de acción 2025'!AC62)</f>
        <v>0.5</v>
      </c>
      <c r="F5" s="140">
        <f>IF('Plan de acción 2025'!AF62="N/A",0,'Plan de acción 2025'!AF62)</f>
        <v>0.5</v>
      </c>
      <c r="G5" s="140">
        <f t="shared" si="0"/>
        <v>1</v>
      </c>
      <c r="I5" s="144" t="str">
        <f>+'Plan de acción 2025'!$AL$62</f>
        <v>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v>
      </c>
      <c r="J5" s="144" t="str">
        <f>+'Plan de acción 2025'!$AN$62</f>
        <v>No se realiza seguimiento al indicador en el presente trimestre, toda vez que el informe de seguimiento al Plan de Mejoramiento 2023 se presentará en el siguiente trimestre. Se evidencia que el proceso ha venido adelantando actividades de consolidación de evidencias para dicho informe.
Se sugiere al proceso verificar la eficacia de las acciones implementadas por los procesos, de manera que el informe a presentar contenga un análisis efectivo y permita evaluar el impacto real de cada acción del Plan de Mejoramiento.</v>
      </c>
      <c r="K5" s="144" t="str">
        <f>+'Plan de acción 2025'!$AP$62</f>
        <v>De acuerdo con las evidencias, el proceso presenta el documento con el cual se pretende radicar el seguimiento al plan de mejoramiento; sin embargo, este no puede considerarse verídico, ya que carece de número de radicado y no permite confirmar su presentación formal. Se recomienda al proceso anexar como evidencia el radicado oficial y el documento (excel) del primer avance  semestral al plan de mejoramiento efectivamente radicado ante el ente de control, garantizando la trazabilidad y validez del cumplimiento del indicador.</v>
      </c>
      <c r="L5" s="144" t="str">
        <f>+'Plan de acción 2025'!$AR$62</f>
        <v>De acuerdo con las evidencias revisadas,el indicador se cumple ya que el proceso presenta los documentos correspondientes al segundo seguimiento de la auditoría del año 2024, vigencia 2023, incluyendo el plan de mejoramiento y el correo de envío, así como los planes de mejoramiento asociados a la auditoría del año 2025, vigencia 2024.
Se recomienda al proceso anexar como evidencia el plan de mejoramiento que se llevará a cabo para la auditoría del año 2025, e informar de manera clara cuáles planes de mejoramiento se encuentran activos, con el fin de facilitar la trazabilidad, el seguimiento y el control de las acciones derivadas de los ejercicios de auditoría.</v>
      </c>
    </row>
    <row r="6" spans="2:12" ht="184.5" customHeight="1" thickBot="1" x14ac:dyDescent="0.25">
      <c r="B6" s="139" t="str">
        <f>+'Plan de acción 2025'!H63</f>
        <v>Presentar los informes de ley por parte de la OCI,  cumpliendo con la normatividad aplicable Decreto 648 del 19 de abril  de 2017</v>
      </c>
      <c r="C6" s="140">
        <f>IF('Plan de acción 2025'!W63="N/A",0,'Plan de acción 2025'!W63)</f>
        <v>0.25</v>
      </c>
      <c r="D6" s="140">
        <f>IF('Plan de acción 2025'!Z63="N/A",0,'Plan de acción 2025'!Z63)</f>
        <v>0.2</v>
      </c>
      <c r="E6" s="140">
        <f>IF('Plan de acción 2025'!AC63="N/A",0,'Plan de acción 2025'!AC63)</f>
        <v>0.25</v>
      </c>
      <c r="F6" s="140">
        <f>IF('Plan de acción 2025'!AF63="N/A",0,'Plan de acción 2025'!AF63)</f>
        <v>0.125</v>
      </c>
      <c r="G6" s="140">
        <f t="shared" si="0"/>
        <v>0.82499999999999996</v>
      </c>
      <c r="I6" s="144" t="str">
        <f>+'Plan de acción 2025'!$AL$63</f>
        <v>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v>
      </c>
      <c r="J6" s="144" t="str">
        <f>+'Plan de acción 2025'!$AN$63</f>
        <v>De acuerdo con la revisión realizada en la página web de la entidad, en la pestaña de Control Interno, de los cinco informes que deben estar publicados se encuentran únicamente dos (Plan Anticorrupción primer cuatrimestre y Matriz de Riesgos primer cuatrimestre), lo que representa un cumplimiento del 40%. Por lo tanto, el proceso no cumple con el indicador para el segundo trimestre de 2025. Hacen falta el Informe Semestral de PQRS, el Informe de Austeridad del Gasto – Segundo Trimestre 2025 y el Informe Pormenorizado – Primer Semestre 2025. Se evidencia que el proceso corrigió y publicó los informes pendientes del primer trimestre, los cuales se validan como cumplimiento. Se recomienda al proceso reorganizar la pestaña de Control Interno en la página web, ya que actualmente no es clara, y avanzar en la publicación de los informes faltantes, así como actualizar los documentos históricos, considerando que los planes de mejoramiento publicados solo llegan hasta el año 2021.</v>
      </c>
      <c r="K6" s="144" t="str">
        <f>+'Plan de acción 2025'!$AP$63</f>
        <v>De acuerdo con la revisión de la página, el proceso cumple parcialmente con el indicador, ya que de los 3 informes programados solo se publicaron 2 (seguimiento del segundo cuatrimestre del Plan Anticorrupción y matriz de riesgos), quedando pendiente el informe de austeridad del gasto del tercer trimestre. Adicionalmente, el proceso completó un informe pendiente del periodo anterior (informe semestral de PQRS). Se recomienda elaborar y publicar los informes pendientes y avanzar oportunamente en la construcción de los informes del próximo periodo, garantizando el cumplimiento del cronograma y la trazabilidad de la información institucional.</v>
      </c>
      <c r="L6" s="144" t="str">
        <f>+'Plan de acción 2025'!$AR$63</f>
        <v>De acuerdo con la revisión de la página web de la entidad y la normativa vigente, el indicador se cumple en el trimestre, toda vez que se publicó un (1) informe correspondiente al informe semestral de PQRS del segundo semestre. Así mismo, se valida la publicación del informe de austeridad del gasto en el tercer trimestre y del informe pormenorizado en el segundo trimestre.
Se recomienda al proceso continuar fortaleciendo la planeación y el control de la elaboración y publicación de los informes, asegurando su emisión dentro de los tiempos establecidos, con el fin de garantizar la oportunidad, la transparencia y el cumplimiento de las obligaciones de información institucional.</v>
      </c>
    </row>
    <row r="7" spans="2:12" ht="162.75" customHeight="1" thickBot="1" x14ac:dyDescent="0.25">
      <c r="B7" s="139" t="str">
        <f>+'Plan de acción 2025'!H64</f>
        <v>Seguimiento a los resultados de la Auditoría interna de la CSC</v>
      </c>
      <c r="C7" s="140">
        <f>IF('Plan de acción 2025'!W64="N/A",0,'Plan de acción 2025'!W64)</f>
        <v>0.18478260869565216</v>
      </c>
      <c r="D7" s="140">
        <f>IF('Plan de acción 2025'!Z64="N/A",0,'Plan de acción 2025'!Z64)</f>
        <v>0.20652173913043478</v>
      </c>
      <c r="E7" s="140">
        <f>IF('Plan de acción 2025'!AC64="N/A",0,'Plan de acción 2025'!AC64)</f>
        <v>0.25</v>
      </c>
      <c r="F7" s="140">
        <f>IF('Plan de acción 2025'!AF64="N/A",0,'Plan de acción 2025'!AF64)</f>
        <v>0.23684210526315788</v>
      </c>
      <c r="G7" s="140">
        <f t="shared" si="0"/>
        <v>0.87814645308924477</v>
      </c>
      <c r="I7" s="144" t="str">
        <f>+'Plan de acción 2025'!$AL$64</f>
        <v>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v>
      </c>
      <c r="J7" s="144" t="str">
        <f>+'Plan de acción 2025'!$AN$64</f>
        <v>De acuerdo con las evidencias aportadas por el proceso, de los 23 hallazgos encontrados durante las auditorías de 2024, se realizó seguimiento a 19 de ellos. Sin embargo, 4 hallazgos no cuentan con trazabilidad en la información presentada. De los 19 hallazgos gestionados, 14 fueron cerrados durante las auditorías de 2025, lo que evidencia un avance parcial en la gestión. Se recomienda al proceso elaborar un consolidado con los resultados de la auditoría 2025 y su respectiva proyección de seguimiento. Adicionalmente, se solicita notificar el estado de las acciones implementadas frente a los 4 hallazgos de control interno de la auditoria 2024, con el fin de establecer con claridad si se encuentran cerrados o permanecen abiertos. Así mismo, se sugiere formalizar el formato de seguimiento en el Sistema de Gestión de la Calidad, dado que constituye una herramienta valiosa para verificar el estado de cada acción y facilitar la trazabilidad de la información.</v>
      </c>
      <c r="K7" s="144" t="str">
        <f>+'Plan de acción 2025'!$AP$64</f>
        <v xml:space="preserve">De acuerdo con las evidencias aportadas por el proceso, se evidencia que se está construyendo el seguimiento a las 38 observaciones y no conformidades generadas en la auditoría del año 2025, y que se ha realizado acompañamiento para la correcta definición tanto de las acciones correctivas como de mejora frente a los hallazgos identificados. Por lo anterior, el indicador se cumple, ya que el proceso ha adelantado el seguimiento requerido en esta fase. Se recomienda al proceso continuar con la verificación del avance y aplicación de las acciones definidas, asegurando que los procesos involucrados cumplan con los plazos establecidos. </v>
      </c>
      <c r="L7" s="144" t="str">
        <f>+'Plan de acción 2025'!$AR$64</f>
        <v>De acuerdo con las evidencias reportadas, el indicador se cumple de manera parcial, dado que, si bien el proceso realizó seguimiento a las acciones de mejora y correctivas, estas se ejecutaron en treinta y seis (36) de las treinta y ocho (38) acciones previstas.
Se recomienda al proceso mejorar la presentación de las evidencias, consolidando la información en un único archivo que permita identificar de manera clara el avance y la eficacia de cada una de las acciones, así como revisar organizadamente el seguimiento realizado por parte de la OCI.</v>
      </c>
    </row>
    <row r="8" spans="2:12" ht="118.5" customHeight="1" thickBot="1" x14ac:dyDescent="0.25">
      <c r="B8" s="139" t="str">
        <f>+'Plan de acción 2025'!H65</f>
        <v>Realizar Campañas de Autocontrol que armonicen la 7ma dimensión de MIPG</v>
      </c>
      <c r="C8" s="140">
        <f>IF('Plan de acción 2025'!W65="N/A",0,'Plan de acción 2025'!W65)</f>
        <v>0</v>
      </c>
      <c r="D8" s="140">
        <f>IF('Plan de acción 2025'!Z65="N/A",0,'Plan de acción 2025'!Z65)</f>
        <v>0.5</v>
      </c>
      <c r="E8" s="140">
        <f>IF('Plan de acción 2025'!AC65="N/A",0,'Plan de acción 2025'!AC65)</f>
        <v>0</v>
      </c>
      <c r="F8" s="140">
        <f>IF('Plan de acción 2025'!AF65="N/A",0,'Plan de acción 2025'!AF65)</f>
        <v>0.5</v>
      </c>
      <c r="G8" s="140">
        <f t="shared" si="0"/>
        <v>1</v>
      </c>
      <c r="I8" s="144" t="str">
        <f>+'Plan de acción 2025'!$AL$65</f>
        <v>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v>
      </c>
      <c r="J8" s="144" t="str">
        <f>+'Plan de acción 2025'!$AN$65</f>
        <v>De acuerdo con las evidencias, el proceso gestionó 2 campañas de autocontrol durante el segundo trimestre de 2025: la primera, dirigida a funcionarios mediante correo electrónico el 25 de mayo, con tema “Gestión de riesgos”, y la segunda el 25 de junio, enfocada en los riesgos de corrupción. Con estas acciones se cumple con el indicador del trimestre.
Se recomienda al proceso hacer extensiva la socialización de las campañas también a los contratistas, con el fin de fortalecer la cultura de autocontrol en toda la entidad. Así mismo, se sugiere mantener la elaboración de mínimo una campaña por trimestre para garantizar la continuidad de estas acciones.</v>
      </c>
      <c r="K8" s="144" t="str">
        <f>+'Plan de acción 2025'!$AP$65</f>
        <v>El indicador no se cumple, debido a que el proceso no realizó la campaña de autocontrol correspondiente al tercer trimestre. Si bien se evidencia una campaña ejecutada en junio, esta correspondía a la segunda campaña del año, y otra enviada el 5 de mayo que correspondía a la primera campaña pendiente. Se recuerda al proceso que, de acuerdo con el indicador, deben ejecutarse 4 campañas al año, distribuidas una por trimestre. Se recomienda ajustar la programación interna y asegurar la ejecución oportuna de cada campaña, con el fin de evitar retrasos y garantizar el cumplimiento del indicador en el siguiente periodo.</v>
      </c>
      <c r="L8" s="144" t="str">
        <f>+'Plan de acción 2025'!$AR$65</f>
        <v>De acuerdo con las evidencias aportadas, el proceso cumple con el indicador, dado que durante el cuarto trimestre se ejecutó la cuarta (4.ª) campaña de control, junto con la campaña pendiente del tercer trimestre. No obstante, se recomienda ajustar la programación interna y fortalecer el seguimiento a la ejecución oportuna de cada campaña, con el fin de evitar retrasos y garantizar el cumplimiento continuo del indicador, así como organizar los temas que aporten información a prinicipios de autocontrol y autogestión.</v>
      </c>
    </row>
    <row r="9" spans="2:12" ht="99" customHeight="1" thickBot="1" x14ac:dyDescent="0.25">
      <c r="B9" s="139" t="str">
        <f>+'Plan de acción 2025'!H66</f>
        <v>Realizar seguimiento a la plataforma SIA Observa y publicación en la página web de la CSC</v>
      </c>
      <c r="C9" s="140">
        <f>IF('Plan de acción 2025'!W66="N/A",0,'Plan de acción 2025'!W66)</f>
        <v>0.25</v>
      </c>
      <c r="D9" s="140">
        <f>IF('Plan de acción 2025'!Z66="N/A",0,'Plan de acción 2025'!Z66)</f>
        <v>0.25</v>
      </c>
      <c r="E9" s="140">
        <f>IF('Plan de acción 2025'!AC66="N/A",0,'Plan de acción 2025'!AC66)</f>
        <v>0.25</v>
      </c>
      <c r="F9" s="140">
        <f>IF('Plan de acción 2025'!AF66="N/A",0,'Plan de acción 2025'!AF66)</f>
        <v>0</v>
      </c>
      <c r="G9" s="140">
        <f t="shared" si="0"/>
        <v>0.75</v>
      </c>
      <c r="I9" s="145" t="str">
        <f>+'Plan de acción 2025'!$AL$66</f>
        <v>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v>
      </c>
      <c r="J9" s="145" t="str">
        <f>+'Plan de acción 2025'!$AN$66</f>
        <v>De acuerdo con las evidencias aportadas, el proceso realizó 1 seguimiento mensual a la rendición de la contratación en la plataforma SIA Observa durante el segundo trimestre de 2025, dando cumplimiento al indicador.
Se recomienda que en las revisiones no solo se verifique el cumplimiento en los tiempos de rendición, sino también que se evalúe si la información requerida para cada contrato fue cargada de manera completa y oportuna. Esto con el fin de evitar demoras recurrentes en el proceso asociadas a la falta de cargue total de la información contractual.</v>
      </c>
      <c r="K9" s="145" t="str">
        <f>+'Plan de acción 2025'!$AP$66</f>
        <v>De acuerdo con las evidencias aportadas, el proceso cumple con el indicador, ya que durante el trimestre realizó 3 seguimientos a la rendición de la contratación en la plataforma SIA Observa. Se recomienda que, además de verificar el cumplimiento en los tiempos de rendición, el proceso revise la completitud y oportunidad de la información cargada para cada contrato, con el fin de evitar demoras recurrentes asociadas a registros incompletos y fortalecer la calidad del proceso de rendición contractual.</v>
      </c>
      <c r="L9" s="145" t="str">
        <f>+'Plan de acción 2025'!$AR$66</f>
        <v>De acuerdo con las evidencias aportadas, el proceso cumple con el indicador, ya que durante el trimestre realizó 3 seguimientos a la rendición de la contratación en la plataforma SIA Observa. Se recomienda que, además de verificar el cumplimiento en los tiempos de rendición, el proceso revise la completitud y oportunidad de la información cargada para cada contrato, con el fin de evitar demoras recurrentes asociadas a registros incompletos y fortalecer la calidad del proceso de rendición contractual.</v>
      </c>
    </row>
    <row r="10" spans="2:12" ht="35.25" customHeight="1" thickBot="1" x14ac:dyDescent="0.25">
      <c r="B10" s="130" t="s">
        <v>568</v>
      </c>
      <c r="C10" s="118">
        <f>+AVERAGE(C4:C9)</f>
        <v>0.11413043478260869</v>
      </c>
      <c r="D10" s="118">
        <f>+AVERAGE(D4:D9)</f>
        <v>0.35942028985507246</v>
      </c>
      <c r="E10" s="118">
        <f>+AVERAGE(E4:E9)</f>
        <v>0.20833333333333334</v>
      </c>
      <c r="F10" s="118">
        <f>+AVERAGE(F4:F9)</f>
        <v>0.22697368421052633</v>
      </c>
      <c r="G10" s="118">
        <f>+AVERAGE(G4:G9)</f>
        <v>0.90885774218154081</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05DC-1849-493F-9D60-51B29E27EA8E}">
  <dimension ref="B1:P18"/>
  <sheetViews>
    <sheetView topLeftCell="A44" zoomScale="85" zoomScaleNormal="85" workbookViewId="0">
      <selection activeCell="O73" sqref="O73"/>
    </sheetView>
  </sheetViews>
  <sheetFormatPr baseColWidth="10" defaultColWidth="10.85546875" defaultRowHeight="14.25" x14ac:dyDescent="0.2"/>
  <cols>
    <col min="1" max="1" width="3.85546875" style="98" customWidth="1"/>
    <col min="2" max="2" width="24.7109375" style="98" customWidth="1"/>
    <col min="3" max="3" width="19.85546875" style="98" customWidth="1"/>
    <col min="4" max="4" width="12.42578125" style="98" customWidth="1"/>
    <col min="5" max="5" width="12" style="98" customWidth="1"/>
    <col min="6" max="7" width="13.85546875" style="98" customWidth="1"/>
    <col min="8" max="8" width="14.42578125" style="98" customWidth="1"/>
    <col min="9" max="9" width="18.85546875" style="98" customWidth="1"/>
    <col min="10" max="10" width="17.42578125" style="98" customWidth="1"/>
    <col min="11" max="11" width="14.42578125" style="98" customWidth="1"/>
    <col min="12" max="12" width="17.42578125" style="98" customWidth="1"/>
    <col min="13" max="13" width="10.85546875" style="98"/>
    <col min="14" max="14" width="15.140625" style="98" customWidth="1"/>
    <col min="15" max="15" width="16.7109375" style="98" customWidth="1"/>
    <col min="16" max="16384" width="10.85546875" style="98"/>
  </cols>
  <sheetData>
    <row r="1" spans="2:16" ht="15" thickBot="1" x14ac:dyDescent="0.25"/>
    <row r="2" spans="2:16" ht="29.25" customHeight="1" thickBot="1" x14ac:dyDescent="0.45">
      <c r="B2" s="277" t="s">
        <v>535</v>
      </c>
      <c r="C2" s="277"/>
      <c r="D2" s="277"/>
      <c r="E2" s="277"/>
      <c r="F2" s="277"/>
      <c r="G2" s="277"/>
      <c r="H2" s="277"/>
      <c r="I2" s="277"/>
      <c r="J2" s="277"/>
      <c r="K2" s="277"/>
      <c r="L2" s="277"/>
      <c r="M2" s="277"/>
      <c r="N2" s="277"/>
      <c r="O2" s="277"/>
    </row>
    <row r="3" spans="2:16" ht="45.75" thickBot="1" x14ac:dyDescent="0.25">
      <c r="B3" s="99" t="s">
        <v>556</v>
      </c>
      <c r="C3" s="100" t="s">
        <v>536</v>
      </c>
      <c r="D3" s="100" t="s">
        <v>537</v>
      </c>
      <c r="E3" s="100" t="s">
        <v>538</v>
      </c>
      <c r="F3" s="100" t="s">
        <v>587</v>
      </c>
      <c r="G3" s="100" t="s">
        <v>588</v>
      </c>
      <c r="H3" s="100" t="s">
        <v>539</v>
      </c>
      <c r="I3" s="100" t="s">
        <v>540</v>
      </c>
      <c r="J3" s="100" t="s">
        <v>541</v>
      </c>
      <c r="K3" s="100" t="s">
        <v>542</v>
      </c>
      <c r="L3" s="100" t="s">
        <v>543</v>
      </c>
      <c r="M3" s="100" t="s">
        <v>544</v>
      </c>
      <c r="N3" s="100" t="s">
        <v>545</v>
      </c>
      <c r="O3" s="100" t="s">
        <v>546</v>
      </c>
    </row>
    <row r="4" spans="2:16" ht="43.5" customHeight="1" x14ac:dyDescent="0.2">
      <c r="B4" s="101" t="s">
        <v>547</v>
      </c>
      <c r="C4" s="102">
        <f>+'Direccionamiento Estrategico'!C8</f>
        <v>0.125</v>
      </c>
      <c r="D4" s="102">
        <f>+'Atención al Cliente'!C8</f>
        <v>0.22775397065116162</v>
      </c>
      <c r="E4" s="102">
        <f>+Bienestar!C7</f>
        <v>0.16319444444444445</v>
      </c>
      <c r="F4" s="102">
        <f>+Crédito!C7</f>
        <v>0.19340219092331767</v>
      </c>
      <c r="G4" s="102">
        <f>+Cartera!C8</f>
        <v>0.24137931034482757</v>
      </c>
      <c r="H4" s="102">
        <f>+'Gestión Contractual'!C7</f>
        <v>0.25</v>
      </c>
      <c r="I4" s="102">
        <f>+'Gestión de la Información'!C9</f>
        <v>0.2</v>
      </c>
      <c r="J4" s="102">
        <f>+'Gestión de Recursos Físicos'!C10</f>
        <v>0.13020833333333334</v>
      </c>
      <c r="K4" s="102">
        <f>+'Gestión de Talento Humano'!C12</f>
        <v>0.24510100470920371</v>
      </c>
      <c r="L4" s="102">
        <f>+'Gestión Financiera'!C11</f>
        <v>0.21220648227422803</v>
      </c>
      <c r="M4" s="102">
        <f>+'Gestión Jurídica'!C7</f>
        <v>5.5648148148148148E-2</v>
      </c>
      <c r="N4" s="102">
        <f>+'Gestion del Mejoramiento'!C10</f>
        <v>0.11413043478260869</v>
      </c>
      <c r="O4" s="278">
        <f>AVERAGE(C8:N8)</f>
        <v>0.85380065958332685</v>
      </c>
    </row>
    <row r="5" spans="2:16" ht="43.5" customHeight="1" x14ac:dyDescent="0.2">
      <c r="B5" s="101" t="s">
        <v>548</v>
      </c>
      <c r="C5" s="102">
        <f>+'Direccionamiento Estrategico'!D8</f>
        <v>0.25</v>
      </c>
      <c r="D5" s="103">
        <f>+'Atención al Cliente'!D8</f>
        <v>0.25</v>
      </c>
      <c r="E5" s="103">
        <f>+Bienestar!D7</f>
        <v>0.31007751937984496</v>
      </c>
      <c r="F5" s="102">
        <f>+Crédito!D7</f>
        <v>0.20519631185807655</v>
      </c>
      <c r="G5" s="102">
        <f>+Cartera!D8</f>
        <v>0.24008620689655172</v>
      </c>
      <c r="H5" s="103">
        <f>+'Gestión Contractual'!D7</f>
        <v>0.24747474747474749</v>
      </c>
      <c r="I5" s="103">
        <f>+'Gestión de la Información'!D9</f>
        <v>0.17785714285714288</v>
      </c>
      <c r="J5" s="103">
        <f>+'Gestión de Recursos Físicos'!D10</f>
        <v>0.26874999999999999</v>
      </c>
      <c r="K5" s="103">
        <f>+'Gestión de Talento Humano'!D12</f>
        <v>0.13775137136631102</v>
      </c>
      <c r="L5" s="103">
        <f>+'Gestión Financiera'!D11</f>
        <v>0.21574323742657769</v>
      </c>
      <c r="M5" s="103">
        <f>+'Gestión Jurídica'!D7</f>
        <v>0.27970237858905894</v>
      </c>
      <c r="N5" s="103">
        <f>+'Gestion del Mejoramiento'!D10</f>
        <v>0.35942028985507246</v>
      </c>
      <c r="O5" s="279"/>
    </row>
    <row r="6" spans="2:16" ht="43.5" customHeight="1" x14ac:dyDescent="0.2">
      <c r="B6" s="101" t="s">
        <v>549</v>
      </c>
      <c r="C6" s="102">
        <f>+'Direccionamiento Estrategico'!E8</f>
        <v>0.4218023255813953</v>
      </c>
      <c r="D6" s="103">
        <f>+'Atención al Cliente'!E8</f>
        <v>0.23828125</v>
      </c>
      <c r="E6" s="103">
        <f>+Bienestar!E7</f>
        <v>0.16666666666666666</v>
      </c>
      <c r="F6" s="102">
        <f>+Crédito!E7</f>
        <v>0.19098164483649649</v>
      </c>
      <c r="G6" s="102">
        <f>+Cartera!E8</f>
        <v>0.24159482758620687</v>
      </c>
      <c r="H6" s="103">
        <f>+'Gestión Contractual'!E7</f>
        <v>0.25</v>
      </c>
      <c r="I6" s="103">
        <f>+'Gestión de la Información'!E9</f>
        <v>0.20298157724628313</v>
      </c>
      <c r="J6" s="103">
        <f>+'Gestión de Recursos Físicos'!E10</f>
        <v>0.10694444444444444</v>
      </c>
      <c r="K6" s="103">
        <f>+'Gestión de Talento Humano'!E12</f>
        <v>0.19963760742500267</v>
      </c>
      <c r="L6" s="103">
        <f>+'Gestión Financiera'!E11</f>
        <v>0.23308515331461135</v>
      </c>
      <c r="M6" s="103">
        <f>+'Gestión Jurídica'!E7</f>
        <v>7.6781839425805368E-2</v>
      </c>
      <c r="N6" s="103">
        <f>+'Gestion del Mejoramiento'!E10</f>
        <v>0.20833333333333334</v>
      </c>
      <c r="O6" s="279"/>
    </row>
    <row r="7" spans="2:16" ht="39" customHeight="1" x14ac:dyDescent="0.2">
      <c r="B7" s="101" t="s">
        <v>550</v>
      </c>
      <c r="C7" s="102">
        <f>+'Direccionamiento Estrategico'!F8</f>
        <v>0.11979166666666666</v>
      </c>
      <c r="D7" s="103">
        <f>+'Atención al Cliente'!F8</f>
        <v>0.25</v>
      </c>
      <c r="E7" s="103">
        <f>+Bienestar!F7</f>
        <v>0.35069444444444448</v>
      </c>
      <c r="F7" s="102">
        <f>+Crédito!F7</f>
        <v>0.18519097222222222</v>
      </c>
      <c r="G7" s="102">
        <f>+Cartera!F8</f>
        <v>0.24466177169226838</v>
      </c>
      <c r="H7" s="103">
        <f>+'Gestión Contractual'!F7</f>
        <v>0.21545584045584043</v>
      </c>
      <c r="I7" s="103">
        <f>+'Gestión de la Información'!F9</f>
        <v>0.16797235023041474</v>
      </c>
      <c r="J7" s="103">
        <f>+'Gestión de Recursos Físicos'!F10</f>
        <v>0.19770491042420865</v>
      </c>
      <c r="K7" s="103">
        <f>+'Gestión de Talento Humano'!F12</f>
        <v>0.23589302871783924</v>
      </c>
      <c r="L7" s="103">
        <f>+'Gestión Financiera'!F11</f>
        <v>0.17861683343459972</v>
      </c>
      <c r="M7" s="103">
        <f>+'Gestión Jurídica'!F7</f>
        <v>0.23547821732598898</v>
      </c>
      <c r="N7" s="103">
        <f>+'Gestion del Mejoramiento'!F10</f>
        <v>0.22697368421052633</v>
      </c>
      <c r="O7" s="279"/>
    </row>
    <row r="8" spans="2:16" ht="42" customHeight="1" thickBot="1" x14ac:dyDescent="0.25">
      <c r="B8" s="101" t="s">
        <v>586</v>
      </c>
      <c r="C8" s="104">
        <f t="shared" ref="C8:N8" si="0">SUM(C4:C7)</f>
        <v>0.91659399224806193</v>
      </c>
      <c r="D8" s="104">
        <f>SUM(D4:D7)</f>
        <v>0.96603522065116165</v>
      </c>
      <c r="E8" s="104">
        <f t="shared" si="0"/>
        <v>0.99063307493540043</v>
      </c>
      <c r="F8" s="104">
        <f>SUM(F4:F7)</f>
        <v>0.77477111984011293</v>
      </c>
      <c r="G8" s="104">
        <f t="shared" si="0"/>
        <v>0.96772211651985462</v>
      </c>
      <c r="H8" s="104">
        <f t="shared" si="0"/>
        <v>0.96293058793058794</v>
      </c>
      <c r="I8" s="104">
        <f t="shared" si="0"/>
        <v>0.74881107033384064</v>
      </c>
      <c r="J8" s="104">
        <f t="shared" si="0"/>
        <v>0.70360768820198638</v>
      </c>
      <c r="K8" s="104">
        <f t="shared" si="0"/>
        <v>0.81838301221835663</v>
      </c>
      <c r="L8" s="104">
        <f t="shared" si="0"/>
        <v>0.83965170645001685</v>
      </c>
      <c r="M8" s="104">
        <f>SUM(M4:M7)</f>
        <v>0.64761058348900147</v>
      </c>
      <c r="N8" s="104">
        <f t="shared" si="0"/>
        <v>0.90885774218154081</v>
      </c>
      <c r="O8" s="280"/>
    </row>
    <row r="10" spans="2:16" ht="15" x14ac:dyDescent="0.25">
      <c r="C10" s="105"/>
    </row>
    <row r="11" spans="2:16" x14ac:dyDescent="0.2">
      <c r="J11" s="106"/>
    </row>
    <row r="13" spans="2:16" x14ac:dyDescent="0.2">
      <c r="B13" s="98" t="s">
        <v>556</v>
      </c>
      <c r="C13" s="98" t="s">
        <v>536</v>
      </c>
      <c r="D13" s="98" t="s">
        <v>537</v>
      </c>
      <c r="E13" s="98" t="s">
        <v>538</v>
      </c>
      <c r="F13" s="146" t="s">
        <v>587</v>
      </c>
      <c r="G13" s="146" t="s">
        <v>588</v>
      </c>
      <c r="H13" s="98" t="s">
        <v>539</v>
      </c>
      <c r="I13" s="98" t="s">
        <v>540</v>
      </c>
      <c r="J13" s="98" t="s">
        <v>541</v>
      </c>
      <c r="K13" s="98" t="s">
        <v>542</v>
      </c>
      <c r="L13" s="98" t="s">
        <v>543</v>
      </c>
      <c r="M13" s="98" t="s">
        <v>544</v>
      </c>
      <c r="N13" s="98" t="s">
        <v>545</v>
      </c>
      <c r="O13" s="98" t="s">
        <v>546</v>
      </c>
    </row>
    <row r="14" spans="2:16" x14ac:dyDescent="0.2">
      <c r="B14" s="98" t="s">
        <v>551</v>
      </c>
      <c r="C14" s="107">
        <f t="shared" ref="C14:N14" si="1">+C4</f>
        <v>0.125</v>
      </c>
      <c r="D14" s="107">
        <f t="shared" si="1"/>
        <v>0.22775397065116162</v>
      </c>
      <c r="E14" s="107">
        <f t="shared" si="1"/>
        <v>0.16319444444444445</v>
      </c>
      <c r="F14" s="107">
        <f>+F4</f>
        <v>0.19340219092331767</v>
      </c>
      <c r="G14" s="107">
        <f t="shared" si="1"/>
        <v>0.24137931034482757</v>
      </c>
      <c r="H14" s="107">
        <f>+'Gestión Contractual'!C7</f>
        <v>0.25</v>
      </c>
      <c r="I14" s="107">
        <f>+'Gestión de la Información'!C9</f>
        <v>0.2</v>
      </c>
      <c r="J14" s="107">
        <f t="shared" si="1"/>
        <v>0.13020833333333334</v>
      </c>
      <c r="K14" s="107">
        <f t="shared" si="1"/>
        <v>0.24510100470920371</v>
      </c>
      <c r="L14" s="107">
        <f t="shared" si="1"/>
        <v>0.21220648227422803</v>
      </c>
      <c r="M14" s="107">
        <f t="shared" si="1"/>
        <v>5.5648148148148148E-2</v>
      </c>
      <c r="N14" s="107">
        <f t="shared" si="1"/>
        <v>0.11413043478260869</v>
      </c>
      <c r="O14" s="108">
        <v>0.14660000000000001</v>
      </c>
    </row>
    <row r="15" spans="2:16" x14ac:dyDescent="0.2">
      <c r="B15" s="98" t="s">
        <v>552</v>
      </c>
      <c r="C15" s="107">
        <f t="shared" ref="C15:N17" si="2">+C5</f>
        <v>0.25</v>
      </c>
      <c r="D15" s="107">
        <f t="shared" si="2"/>
        <v>0.25</v>
      </c>
      <c r="E15" s="107">
        <f t="shared" si="2"/>
        <v>0.31007751937984496</v>
      </c>
      <c r="F15" s="107">
        <f>+F5</f>
        <v>0.20519631185807655</v>
      </c>
      <c r="G15" s="107">
        <f t="shared" si="2"/>
        <v>0.24008620689655172</v>
      </c>
      <c r="H15" s="107">
        <f>+'Gestión Contractual'!D7</f>
        <v>0.24747474747474749</v>
      </c>
      <c r="I15" s="107">
        <f>+'Gestión de la Información'!D9</f>
        <v>0.17785714285714288</v>
      </c>
      <c r="J15" s="107">
        <f t="shared" si="2"/>
        <v>0.26874999999999999</v>
      </c>
      <c r="K15" s="107">
        <f t="shared" si="2"/>
        <v>0.13775137136631102</v>
      </c>
      <c r="L15" s="107">
        <f t="shared" si="2"/>
        <v>0.21574323742657769</v>
      </c>
      <c r="M15" s="107">
        <f t="shared" si="2"/>
        <v>0.27970237858905894</v>
      </c>
      <c r="N15" s="107">
        <f t="shared" si="2"/>
        <v>0.35942028985507246</v>
      </c>
      <c r="O15" s="108">
        <v>0.31919999999999998</v>
      </c>
      <c r="P15" s="109"/>
    </row>
    <row r="16" spans="2:16" ht="15.75" customHeight="1" x14ac:dyDescent="0.2">
      <c r="B16" s="98" t="s">
        <v>553</v>
      </c>
      <c r="C16" s="107">
        <f t="shared" si="2"/>
        <v>0.4218023255813953</v>
      </c>
      <c r="D16" s="107">
        <f t="shared" si="2"/>
        <v>0.23828125</v>
      </c>
      <c r="E16" s="107">
        <f t="shared" si="2"/>
        <v>0.16666666666666666</v>
      </c>
      <c r="F16" s="107">
        <f>+F6</f>
        <v>0.19098164483649649</v>
      </c>
      <c r="G16" s="107">
        <f t="shared" si="2"/>
        <v>0.24159482758620687</v>
      </c>
      <c r="H16" s="107">
        <f>+'Gestión Contractual'!E7</f>
        <v>0.25</v>
      </c>
      <c r="I16" s="107">
        <f t="shared" si="2"/>
        <v>0.20298157724628313</v>
      </c>
      <c r="J16" s="107">
        <f t="shared" si="2"/>
        <v>0.10694444444444444</v>
      </c>
      <c r="K16" s="107">
        <f t="shared" si="2"/>
        <v>0.19963760742500267</v>
      </c>
      <c r="L16" s="107">
        <f t="shared" si="2"/>
        <v>0.23308515331461135</v>
      </c>
      <c r="M16" s="107">
        <f t="shared" si="2"/>
        <v>7.6781839425805368E-2</v>
      </c>
      <c r="N16" s="107">
        <f t="shared" si="2"/>
        <v>0.20833333333333334</v>
      </c>
      <c r="O16" s="108">
        <v>0.57869999999999999</v>
      </c>
    </row>
    <row r="17" spans="2:15" x14ac:dyDescent="0.2">
      <c r="B17" s="98" t="s">
        <v>554</v>
      </c>
      <c r="C17" s="107">
        <f t="shared" si="2"/>
        <v>0.11979166666666666</v>
      </c>
      <c r="D17" s="107">
        <f t="shared" si="2"/>
        <v>0.25</v>
      </c>
      <c r="E17" s="107">
        <f t="shared" si="2"/>
        <v>0.35069444444444448</v>
      </c>
      <c r="F17" s="107">
        <f>+F7</f>
        <v>0.18519097222222222</v>
      </c>
      <c r="G17" s="107">
        <f t="shared" si="2"/>
        <v>0.24466177169226838</v>
      </c>
      <c r="H17" s="107">
        <f>+'Gestión Contractual'!F7</f>
        <v>0.21545584045584043</v>
      </c>
      <c r="I17" s="107">
        <f t="shared" si="2"/>
        <v>0.16797235023041474</v>
      </c>
      <c r="J17" s="107">
        <f t="shared" si="2"/>
        <v>0.19770491042420865</v>
      </c>
      <c r="K17" s="107">
        <f t="shared" si="2"/>
        <v>0.23589302871783924</v>
      </c>
      <c r="L17" s="107">
        <f t="shared" si="2"/>
        <v>0.17861683343459972</v>
      </c>
      <c r="M17" s="107">
        <f t="shared" si="2"/>
        <v>0.23547821732598898</v>
      </c>
      <c r="N17" s="107">
        <f t="shared" si="2"/>
        <v>0.22697368421052633</v>
      </c>
      <c r="O17" s="108">
        <v>0.85870000000000002</v>
      </c>
    </row>
    <row r="18" spans="2:15" x14ac:dyDescent="0.2">
      <c r="B18" s="110" t="s">
        <v>555</v>
      </c>
      <c r="C18" s="111">
        <f>SUM(C14:C17)</f>
        <v>0.91659399224806193</v>
      </c>
      <c r="D18" s="111">
        <f t="shared" ref="D18:N18" si="3">SUM(D14:D17)</f>
        <v>0.96603522065116165</v>
      </c>
      <c r="E18" s="111">
        <f t="shared" si="3"/>
        <v>0.99063307493540043</v>
      </c>
      <c r="F18" s="111">
        <f>SUM(F14:F17)</f>
        <v>0.77477111984011293</v>
      </c>
      <c r="G18" s="111">
        <f t="shared" si="3"/>
        <v>0.96772211651985462</v>
      </c>
      <c r="H18" s="111">
        <f t="shared" si="3"/>
        <v>0.96293058793058794</v>
      </c>
      <c r="I18" s="111">
        <f t="shared" si="3"/>
        <v>0.74881107033384064</v>
      </c>
      <c r="J18" s="111">
        <f t="shared" si="3"/>
        <v>0.70360768820198638</v>
      </c>
      <c r="K18" s="111">
        <f t="shared" si="3"/>
        <v>0.81838301221835663</v>
      </c>
      <c r="L18" s="111">
        <f t="shared" si="3"/>
        <v>0.83965170645001685</v>
      </c>
      <c r="M18" s="111">
        <f t="shared" si="3"/>
        <v>0.64761058348900147</v>
      </c>
      <c r="N18" s="111">
        <f t="shared" si="3"/>
        <v>0.90885774218154081</v>
      </c>
      <c r="O18" s="108"/>
    </row>
  </sheetData>
  <mergeCells count="2">
    <mergeCell ref="B2:O2"/>
    <mergeCell ref="O4:O8"/>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3530F-BA08-4D05-B300-47532CE223A8}">
  <dimension ref="B1:L8"/>
  <sheetViews>
    <sheetView topLeftCell="C1" zoomScale="90" zoomScaleNormal="90" workbookViewId="0">
      <selection activeCell="L4" sqref="L4"/>
    </sheetView>
  </sheetViews>
  <sheetFormatPr baseColWidth="10" defaultColWidth="11.42578125" defaultRowHeight="14.25" x14ac:dyDescent="0.2"/>
  <cols>
    <col min="1" max="1" width="4.42578125" style="112" customWidth="1"/>
    <col min="2" max="2" width="40.28515625" style="112" customWidth="1"/>
    <col min="3" max="3" width="13.7109375" style="112" customWidth="1"/>
    <col min="4" max="6" width="11.42578125" style="112"/>
    <col min="7" max="7" width="16.42578125" style="112" customWidth="1"/>
    <col min="8" max="8" width="6" style="112" customWidth="1"/>
    <col min="9" max="9" width="55.140625" style="112" customWidth="1"/>
    <col min="10" max="10" width="51" style="112" customWidth="1"/>
    <col min="11" max="11" width="52" style="112" customWidth="1"/>
    <col min="12" max="12" width="51" style="112" customWidth="1"/>
    <col min="13" max="16384" width="11.42578125" style="112"/>
  </cols>
  <sheetData>
    <row r="1" spans="2:12" ht="15" thickBot="1" x14ac:dyDescent="0.25"/>
    <row r="2" spans="2:12" ht="21" thickBot="1" x14ac:dyDescent="0.35">
      <c r="B2" s="281" t="s">
        <v>557</v>
      </c>
      <c r="C2" s="281"/>
      <c r="D2" s="281"/>
      <c r="E2" s="281"/>
      <c r="F2" s="281"/>
      <c r="G2" s="281"/>
      <c r="I2" s="281" t="s">
        <v>558</v>
      </c>
      <c r="J2" s="281"/>
      <c r="K2" s="281"/>
      <c r="L2" s="281"/>
    </row>
    <row r="3" spans="2:12" ht="45.75" thickBot="1" x14ac:dyDescent="0.25">
      <c r="B3" s="113" t="s">
        <v>559</v>
      </c>
      <c r="C3" s="113" t="s">
        <v>560</v>
      </c>
      <c r="D3" s="113" t="s">
        <v>561</v>
      </c>
      <c r="E3" s="113" t="s">
        <v>562</v>
      </c>
      <c r="F3" s="113" t="s">
        <v>563</v>
      </c>
      <c r="G3" s="113" t="s">
        <v>576</v>
      </c>
      <c r="I3" s="114" t="s">
        <v>564</v>
      </c>
      <c r="J3" s="114" t="s">
        <v>565</v>
      </c>
      <c r="K3" s="114" t="s">
        <v>566</v>
      </c>
      <c r="L3" s="114" t="s">
        <v>567</v>
      </c>
    </row>
    <row r="4" spans="2:12" ht="160.5" customHeight="1" thickBot="1" x14ac:dyDescent="0.25">
      <c r="B4" s="115" t="str">
        <f>+'Plan de acción 2025'!I11</f>
        <v>Porcentaje de cumplimiento en la evaluación FURAG respecto a la meta establecida</v>
      </c>
      <c r="C4" s="116">
        <f>IF('Plan de acción 2025'!W11="N/A",0,'Plan de acción 2025'!W11)</f>
        <v>0</v>
      </c>
      <c r="D4" s="116">
        <f>IF('Plan de acción 2025'!Z11="N/A",0,'Plan de acción 2025'!Z11)</f>
        <v>0</v>
      </c>
      <c r="E4" s="116">
        <f>IF('Plan de acción 2025'!AC11="N/A",0,'Plan de acción 2025'!AC11)</f>
        <v>0.93720930232558131</v>
      </c>
      <c r="F4" s="116">
        <f>IF('Plan de acción 2025'!AF11="N/A",0,'Plan de acción 2025'!AF11)</f>
        <v>0</v>
      </c>
      <c r="G4" s="116">
        <f>SUMIF(C4:F4,"&gt;0",C4:F4)</f>
        <v>0.93720930232558131</v>
      </c>
      <c r="I4" s="175" t="str">
        <f>+'Plan de acción 2025'!$AL$11</f>
        <v>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v>
      </c>
      <c r="J4" s="175" t="str">
        <f>+'Plan de acción 2025'!$AN$11</f>
        <v>Para el segundo trimestre de 2025 el indicador no presenta medición, debido a que el cuestionario del FURAG fue presentado el 21 de abril para su posterior evaluación.
Se evidencia que el proceso realizó acompañamiento a los líderes de cada política para garantizar el correcto cargue de evidencias y respuestas en el cuestionario. Se recomienda continuar con este acompañamiento y realizar seguimiento a los resultados una vez sean publicados, con el fin de identificar oportunidades de mejora.</v>
      </c>
      <c r="K4" s="175" t="str">
        <f>+'Plan de acción 2025'!$AP$11</f>
        <v>De acuerdo con las evidencias aportadas por el proceso, se identifica que cumple parcialmente el indicador, dado que no alcanzó el puntaje igual o superior a 86 en la calificación FURAG. El resultado obtenido fue de 80,6, evidenciándose bajo desempeño en las políticas de Gestión Documental, Gestión del Conocimiento, Servicio al Ciudadano y Racionalización de Trámites.
Se recomienda implementar y dar seguimiento al plan de mejoramiento identificado, asegurando que las acciones propuestas se ejecuten antes de finalizar la vigencia 2025. Además, se sugiere verificar periódicamente el avance de los compromisos por proceso, con el fin de reducir brechas y garantizar la alineación con la meta institucional establecida.</v>
      </c>
      <c r="L4" s="175" t="str">
        <f>+'Plan de acción 2025'!$AR$11</f>
        <v>Para el presente trimestre el indicador no presenta medición, sin embargo se evidencia que el proceso genero dos planes de mejoramiento con Atención al cliente y archivo. Asimismo, se realizaron mesas de trabajo con los líderes de proceso, con el fin de proponer y estructurar acciones para el seguimiento a la implementación de dichos planes. Se recomienda continuar con el monitoreo y la evaluación periódica de las acciones definidas, a fin de garantizar su efectividad, fortalecer la gestión institucional y mejorar los resultados en futuras mediciones del FURAG.</v>
      </c>
    </row>
    <row r="5" spans="2:12" ht="139.5" customHeight="1" thickBot="1" x14ac:dyDescent="0.25">
      <c r="B5" s="115" t="str">
        <f>+'Plan de acción 2025'!I12</f>
        <v>Porcentaje de seguimiento efectivo a los 12 planes del Decreto 612 de 2018</v>
      </c>
      <c r="C5" s="116">
        <f>IF('Plan de acción 2025'!W12="N/A",0,'Plan de acción 2025'!W12)</f>
        <v>0</v>
      </c>
      <c r="D5" s="116">
        <f>IF('Plan de acción 2025'!Z12="N/A",0,'Plan de acción 2025'!Z12)</f>
        <v>0.5</v>
      </c>
      <c r="E5" s="116">
        <f>IF('Plan de acción 2025'!AC12="N/A",0,'Plan de acción 2025'!AC12)</f>
        <v>0.25</v>
      </c>
      <c r="F5" s="116">
        <f>IF('Plan de acción 2025'!AF12="N/A",0,'Plan de acción 2025'!AF12)</f>
        <v>0.22916666666666666</v>
      </c>
      <c r="G5" s="116">
        <f>SUMIF(C5:F5,"&gt;0",C5:F5)</f>
        <v>0.97916666666666663</v>
      </c>
      <c r="I5" s="175" t="str">
        <f>+'Plan de acción 2025'!$AL$12</f>
        <v>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v>
      </c>
      <c r="J5" s="175" t="str">
        <f>+'Plan de acción 2025'!$AN$12</f>
        <v>De acuerdo con las evidencias aportadas, el proceso realizó seguimiento a los 12 planes institucionales, los cuales obtuvieron un avance consolidado del 38% en el primer semestre, con lo cual se cumple el indicador de seguimiento a los planes. Se observa que los planes de sistemas no presentan avances, el plan de capacitaciones registra un avance del 16% y los demás planes presentan progresos que oscilan entre el 40% y el 80%. Se sugiere al proceso brindar acompañamiento a aquellos responsables que no han iniciado la implementación de actividades, con el fin de fortalecer la gestión y garantizar un desarrollo equilibrado de todos los planes institucionales.</v>
      </c>
      <c r="K5" s="175" t="str">
        <f>+'Plan de acción 2025'!$AP$12</f>
        <v xml:space="preserve">De acuerdo con las evidencias aportadas, el indicador se cumple, ya que el proceso debía realizar el seguimiento a 12 planes de los cuales se encuentra el registro de  todos los seguimientos con un promedio de ejecución del   54% aproximadamente. Se recomienda al proceso realizar seguimiento y apoyo a aquellos planes con bajos porcentajes de avance. </v>
      </c>
      <c r="L5" s="175" t="str">
        <f>+'Plan de acción 2025'!$AR$12</f>
        <v>De acuerdo con las evidencias presentadas por el proceso, se da cumplimiento al indicador, se verifica la realización del seguimiento de once (11) planes institucionales. No obstante, se identifican que los planes: Plan Previsión Recursos Humanos, plan Capacitaciones, plan Anual de Vacantes, plan PETIC, plan Seguridad y privacidad y plan Riesgos de Seguridad presentan una porcentaje de ejecución inferior al 50 %, por lo cual se recomienda al proceso apoyar o generar estartegias que permitar el logro de las actividades propuestas.</v>
      </c>
    </row>
    <row r="6" spans="2:12" ht="141" customHeight="1" thickBot="1" x14ac:dyDescent="0.25">
      <c r="B6" s="115" t="str">
        <f>+'Plan de acción 2025'!I13</f>
        <v>Efectividad al seguimiento del plan de acción</v>
      </c>
      <c r="C6" s="116">
        <f>IF('Plan de acción 2025'!W13="N/A",0,'Plan de acción 2025'!W13)</f>
        <v>0.25</v>
      </c>
      <c r="D6" s="116">
        <f>IF('Plan de acción 2025'!Z13="N/A",0,'Plan de acción 2025'!Z13)</f>
        <v>0.25</v>
      </c>
      <c r="E6" s="116">
        <f>IF('Plan de acción 2025'!AC13="N/A",0,'Plan de acción 2025'!AC13)</f>
        <v>0.25</v>
      </c>
      <c r="F6" s="116">
        <f>IF('Plan de acción 2025'!AF13="N/A",0,'Plan de acción 2025'!AF13)</f>
        <v>0.25</v>
      </c>
      <c r="G6" s="116">
        <f>SUMIF(C6:F6,"&gt;0",C6:F6)</f>
        <v>1</v>
      </c>
      <c r="I6" s="175" t="str">
        <f>+'Plan de acción 2025'!$AL$13</f>
        <v>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v>
      </c>
      <c r="J6" s="175" t="str">
        <f>+'Plan de acción 2025'!$AN$13</f>
        <v xml:space="preserve">El indicador cumple con lo establecido, ya que se evidencia que se realizó el seguimiento al Plan de Acción de la entidad correspondiente al segundo trimestre de 2025, cuyo avance total fue del 39.77%.
Se sugiere al proceso realizar el seguimiento en una fecha más cercana al cierre del periodo, con el fin de socializar oportunamente los resultados con los procesos y permitir que, de ser necesario, se realicen los ajustes pertinentes para los siguientes trimestres. </v>
      </c>
      <c r="K6" s="175" t="str">
        <f>+'Plan de acción 2025'!$AP$13</f>
        <v>El indicador cumple con lo establecido, ya que se evidencia que se realizó el seguimiento al Plan de Acción de la entidad correspondiente al  tercer  trimestre de 2025, cuyo avance total fue del 61.66%.
Se sugiere al proceso realizar el seguimiento en una fecha más cercana al cierre del periodo, con el fin de socializar oportunamente los resultados con los procesos y permitir que, de ser necesario, se realicen los ajustes pertinentes para los siguientes trimestres. Queda pendiente dar avance al indicador de satisfacción del cliente porque el informe esta incompleto, asi como la información del proceso de jurídica.</v>
      </c>
      <c r="L6" s="175" t="str">
        <f>+'Plan de acción 2025'!$AR$13</f>
        <v>El indicador cumple con lo establecido, ya que se evidencia que se realizó el seguimiento al Plan de Acción de la entidad correspondiente al  cuarto  trimestre de 2025, cuyo avance total fue aproximado del 85%.
Se sugiere al proceso realizar el seguimiento en una fecha más cercana al cierre del periodo, con el fin de socializar oportunamente los resultados con los procesos. Queda pendiente dar avance a los indicadores de gestión financiera porque no han cerrado periodo y no tienen información final, asi como la información del proceso de jurídica ya que carece también de información.</v>
      </c>
    </row>
    <row r="7" spans="2:12" ht="168.75" customHeight="1" thickBot="1" x14ac:dyDescent="0.25">
      <c r="B7" s="115" t="str">
        <f>+'Plan de acción 2025'!I14</f>
        <v>Porcentaje de actualización efectiva en el sistema de trámites (SUIT)</v>
      </c>
      <c r="C7" s="116">
        <f>IF('Plan de acción 2025'!W14="N/A",0,'Plan de acción 2025'!W14)</f>
        <v>0.25</v>
      </c>
      <c r="D7" s="116">
        <f>IF('Plan de acción 2025'!Z14="N/A",0,'Plan de acción 2025'!Z14)</f>
        <v>0.25</v>
      </c>
      <c r="E7" s="116">
        <f>IF('Plan de acción 2025'!AC14="N/A",0,'Plan de acción 2025'!AC14)</f>
        <v>0.25</v>
      </c>
      <c r="F7" s="116">
        <f>IF('Plan de acción 2025'!AF14="N/A",0,'Plan de acción 2025'!AF14)</f>
        <v>0</v>
      </c>
      <c r="G7" s="116">
        <f>SUMIF(C7:F7,"&gt;0",C7:F7)</f>
        <v>0.75</v>
      </c>
      <c r="I7" s="176" t="str">
        <f>+'Plan de acción 2025'!$AL$14</f>
        <v>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v>
      </c>
      <c r="J7" s="176" t="str">
        <f>+'Plan de acción 2025'!$AN$14</f>
        <v>De acuerdo con las evidencias aportadas, el proceso tiene actualizada la información en el SUIT para cada uno de los trámites, lo que permite concluir que el indicador cumple con lo establecido para el segundo trimestre de 2025. Durante este periodo se presentaron 233 solicitudes y 85 PQRs en el trámite de afiliaciones, 21 solicitudes y 15 PQRs en trámites hipotecarios, y 272 solicitudes y 6 PQRs en trámites no hipotecarios. En cuanto al seguimiento de la estrategia, se evidenció que se encuentra abierta una acción relacionada con el trámite de afiliaciones, sin novedades reportadas. Se recomienda al proceso mantener actualizada la información en el SUIT y continuar con el seguimiento de la estrategia de racionalización, garantizando la atención oportuna de las solicitudes y PQRs.</v>
      </c>
      <c r="K7" s="176" t="str">
        <f>+'Plan de acción 2025'!$AP$14</f>
        <v>De acuerdo con las evidencias presentadas el proceso cumple el indicador, dado que ha realizado el seguimiento en el Sistema Único de Información de Trámites (SUIT) y mantiene actualizados los trámites inscritos. Sin embargo, se identifica la necesidad de avanzar en la racionalización de los trámites y en el seguimiento de la estrategia de atención al cliente, conforme a las observaciones dadas por el SUIT.
Se recomienda realizar la racionalización de los trámites antes de finalizar la vigencia 2025 y resolver los ajustes relacionados con la estrategia de atención al cliente, en concordancia con los lineamientos del SUIT. Adicionalmente, se sugiere mantener la actualización continua de la información registrada para asegurar el cumplimiento del indicador.</v>
      </c>
      <c r="L7" s="176" t="str">
        <f>+'Plan de acción 2025'!$AR$14</f>
        <v>Se evidencia seguimiento a la plataforma SUIT y el reporte de PQRS asociadas a los trámites inscritos. En relación con la estrategia de racionalización, se verifica que se realizón mesa técnica con el SUIT el 26 de noviembre, donde se determinó la eliminación de una acción de vigencias anteriores, debido a limitaciones contractuales que impiden desarrollo en el aplicativo Novasoft. Se recomienda al proceso planear una nueva estartegia de racionalización para los trámites inscritos.</v>
      </c>
    </row>
    <row r="8" spans="2:12" ht="31.5" customHeight="1" thickBot="1" x14ac:dyDescent="0.25">
      <c r="B8" s="117" t="s">
        <v>568</v>
      </c>
      <c r="C8" s="118">
        <f>+AVERAGE(C4:C7)</f>
        <v>0.125</v>
      </c>
      <c r="D8" s="118">
        <f>+AVERAGE(D4:D7)</f>
        <v>0.25</v>
      </c>
      <c r="E8" s="118">
        <f>+AVERAGE(E4:E7)</f>
        <v>0.4218023255813953</v>
      </c>
      <c r="F8" s="118">
        <f>+AVERAGE(F4:F7)</f>
        <v>0.11979166666666666</v>
      </c>
      <c r="G8" s="118">
        <f>+AVERAGE(G4:G7)</f>
        <v>0.91659399224806193</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012E-DE83-46C9-BEBA-630A4AF957EB}">
  <dimension ref="B1:L8"/>
  <sheetViews>
    <sheetView zoomScale="70" zoomScaleNormal="70" workbookViewId="0">
      <selection activeCell="L4" sqref="L4"/>
    </sheetView>
  </sheetViews>
  <sheetFormatPr baseColWidth="10" defaultColWidth="10.85546875" defaultRowHeight="14.25" x14ac:dyDescent="0.2"/>
  <cols>
    <col min="1" max="1" width="3.7109375" style="98" customWidth="1"/>
    <col min="2" max="2" width="31.140625" style="98" customWidth="1"/>
    <col min="3" max="6" width="10.85546875" style="98"/>
    <col min="7" max="7" width="17" style="98" customWidth="1"/>
    <col min="8" max="8" width="6" style="98" customWidth="1"/>
    <col min="9" max="9" width="65.42578125" style="98" customWidth="1"/>
    <col min="10" max="10" width="58.42578125" style="98" customWidth="1"/>
    <col min="11" max="11" width="56.42578125" style="98" customWidth="1"/>
    <col min="12" max="12" width="71.28515625" style="98" customWidth="1"/>
    <col min="13" max="16384" width="10.85546875" style="98"/>
  </cols>
  <sheetData>
    <row r="1" spans="2:12" ht="15" thickBot="1" x14ac:dyDescent="0.25"/>
    <row r="2" spans="2:12" s="119" customFormat="1" ht="35.25" customHeight="1" thickBot="1" x14ac:dyDescent="0.3">
      <c r="B2" s="282" t="s">
        <v>569</v>
      </c>
      <c r="C2" s="282"/>
      <c r="D2" s="282"/>
      <c r="E2" s="282"/>
      <c r="F2" s="282"/>
      <c r="G2" s="282"/>
      <c r="I2" s="282" t="s">
        <v>558</v>
      </c>
      <c r="J2" s="282"/>
      <c r="K2" s="282"/>
      <c r="L2" s="282"/>
    </row>
    <row r="3" spans="2:12" ht="45.75" thickBot="1" x14ac:dyDescent="0.25">
      <c r="B3" s="120" t="s">
        <v>559</v>
      </c>
      <c r="C3" s="120" t="s">
        <v>560</v>
      </c>
      <c r="D3" s="120" t="s">
        <v>561</v>
      </c>
      <c r="E3" s="120" t="s">
        <v>562</v>
      </c>
      <c r="F3" s="120" t="s">
        <v>563</v>
      </c>
      <c r="G3" s="120" t="s">
        <v>576</v>
      </c>
      <c r="I3" s="121" t="s">
        <v>564</v>
      </c>
      <c r="J3" s="121" t="s">
        <v>565</v>
      </c>
      <c r="K3" s="121" t="s">
        <v>566</v>
      </c>
      <c r="L3" s="121" t="s">
        <v>567</v>
      </c>
    </row>
    <row r="4" spans="2:12" ht="144" customHeight="1" thickBot="1" x14ac:dyDescent="0.25">
      <c r="B4" s="122" t="str">
        <f>+'Plan de acción 2025'!H15</f>
        <v xml:space="preserve">Atender las PQRSDF dentro de los términos legales. </v>
      </c>
      <c r="C4" s="123">
        <f>IF('Plan de acción 2025'!W15="N/A",0,'Plan de acción 2025'!W15)</f>
        <v>0.25</v>
      </c>
      <c r="D4" s="123">
        <f>IF('Plan de acción 2025'!Z15="N/A",0,'Plan de acción 2025'!Z15)</f>
        <v>0.25</v>
      </c>
      <c r="E4" s="123">
        <f>IF('Plan de acción 2025'!AC15="N/A",0,'Plan de acción 2025'!AC15)</f>
        <v>0.25</v>
      </c>
      <c r="F4" s="123">
        <f>IF('Plan de acción 2025'!AE15="N/A",0,'Plan de acción 2025'!AF15)</f>
        <v>0.25</v>
      </c>
      <c r="G4" s="123">
        <f>SUMIF(C4:F4,"&gt;0",C4:F4)</f>
        <v>1</v>
      </c>
      <c r="I4" s="132" t="str">
        <f>+'Plan de acción 2025'!$AL$15</f>
        <v>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v>
      </c>
      <c r="J4" s="132" t="str">
        <f>+'Plan de acción 2025'!$AN$15</f>
        <v>Durante el trimestre se recibieron 3.433 solicitudes, de las cuales 3.431 fueron respondidas en tiempo y 2 se encuentran aún dentro del plazo legal, lo que representa un cumplimiento del 100%. Por lo tanto, el indicador cumple. Se suguere al proceso consolidar una base de datos única y verificable que respalde de forma clara la trazabilidad y cumplimiento del indicador, ya que no se encontró un archivo consolidado que permita validar con certeza la información reportada.</v>
      </c>
      <c r="K4" s="132" t="str">
        <f>+'Plan de acción 2025'!$AP$15</f>
        <v>De acuerdo con los informes presentados por el proceso, el indicador se cumple, ya que durante el periodo se radicaron 3.827 PQRSDF y todas fueron atendidas dentro de los términos establecidos. Estas fueron distribuidas así: 3.812 peticiones, 5 quejas, 3 reclamos, 0 sugerencias, 1 denuncia y 6 felicitaciones. Se recomienda al proceso mantener la gestión oportuna de las solicitudes y continuar fortaleciendo los mecanismos de seguimiento para garantizar que la atención se siga realizando dentro de los plazos definidos.</v>
      </c>
      <c r="L4" s="132" t="str">
        <f>+'Plan de acción 2025'!$AR$15</f>
        <v>De acuerdo con los informes presentados por el proceso, se evidencia el cumplimiento del indicador, dado que durante el periodo evaluado se radicaron un total de 2.179 PQRSDF, las cuales 2.170 fueron atendidas dentro de los términos establecidos. La distribución fue la siguiente: 2.166 peticiones, 7 quejas, 4 reclamos, 1 sugerencia y 1 denuncia. Se recomienda al proceso mantener la gestión oportuna de las solicitudes y continuar fortaleciendo los mecanismos de seguimiento, con el fin de garantizar la atención dentro de los plazos definidos.</v>
      </c>
    </row>
    <row r="5" spans="2:12" ht="203.25" customHeight="1" thickBot="1" x14ac:dyDescent="0.25">
      <c r="B5" s="122" t="str">
        <f>+'Plan de acción 2025'!H16</f>
        <v xml:space="preserve">Medir la satisfacción del cliente externo, mínimo del 70% de la población atendida </v>
      </c>
      <c r="C5" s="123">
        <f>IF('Plan de acción 2025'!W16="N/A",0,'Plan de acción 2025'!W16)</f>
        <v>0.24925117672229355</v>
      </c>
      <c r="D5" s="123">
        <f>IF('Plan de acción 2025'!Z16="N/A",0,'Plan de acción 2025'!Z16)</f>
        <v>0.25</v>
      </c>
      <c r="E5" s="123">
        <f>IF('Plan de acción 2025'!AC16="N/A",0,'Plan de acción 2025'!AC16)</f>
        <v>0.25</v>
      </c>
      <c r="F5" s="123">
        <f>IF('Plan de acción 2025'!AE16="N/A",0,'Plan de acción 2025'!AF16)</f>
        <v>0.25</v>
      </c>
      <c r="G5" s="123">
        <f>SUMIF(C5:F5,"&gt;0",C5:F5)</f>
        <v>0.99925117672229358</v>
      </c>
      <c r="I5" s="132" t="str">
        <f>+'Plan de acción 2025'!$AL$16</f>
        <v>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v>
      </c>
      <c r="J5" s="132" t="str">
        <f>+'Plan de acción 2025'!$AN$16</f>
        <v>El proceso reportó la aplicación de 249 encuestas de satisfacción, de las cuales 245 reflejaron satisfacción con los servicios prestados por la entidad y 4 fueron calificadas como aceptables. El indicador cumple, destacándose que los servicios más solicitados fueron información sobre créditos y asesoría.
Se sugiere al proceso incrementar el número de encuestas aplicadas, recordando que se debe encuestar al 70% de la población atendida para garantizar una muestra representativa y mejorar la toma de decisiones a partir de los resultados.</v>
      </c>
      <c r="K5" s="132" t="str">
        <f>+'Plan de acción 2025'!$AP$16</f>
        <v xml:space="preserve">Falta completar el consolidado de la encuentas de todo el trimestre </v>
      </c>
      <c r="L5" s="132" t="str">
        <f>+'Plan de acción 2025'!$AR$16</f>
        <v>Con base en los resultados obtenidos, se evidencia el cumplimiento del indicador en un 97% y un alto nivel de satisfacción por parte de los usuarios frente a los servicios prestados. Durante el período evaluado se aplicaron cuatrocientas treinta y dos (432) encuestas de satisfacción, de las cuales trescientas noventa y dos (392) fueron calificadas como Muy satisfecho, veintisiete (27) como Satisfecho, una (1) como Aceptable, una (1) como Insatisfecho y once (11) no registraron respuesta.
Estos resultados reflejan una percepción positiva de la atención brindada, evidenciando el compromiso del proceso con la calidad del servicio y la satisfacción del cliente. Así mismo, se destaca que los servicios con mayor nivel de demanda estuvieron relacionados con la información sobre créditos y la asesoría ofrecida, los cuales contribuyeron significativamente a la experiencia favorable de los usuarios.</v>
      </c>
    </row>
    <row r="6" spans="2:12" ht="147" customHeight="1" thickBot="1" x14ac:dyDescent="0.25">
      <c r="B6" s="122" t="str">
        <f>+'Plan de acción 2025'!H17</f>
        <v>Seguimiento al Plan de Comunicaciones y  Marketing de la CSC</v>
      </c>
      <c r="C6" s="123">
        <f>IF('Plan de acción 2025'!W17="N/A",0,'Plan de acción 2025'!W17)</f>
        <v>0.16176470588235295</v>
      </c>
      <c r="D6" s="123">
        <f>IF('Plan de acción 2025'!Z17="N/A",0,'Plan de acción 2025'!Z17)</f>
        <v>0.25</v>
      </c>
      <c r="E6" s="123">
        <f>IF('Plan de acción 2025'!AC17="N/A",0,'Plan de acción 2025'!AC17)</f>
        <v>0.203125</v>
      </c>
      <c r="F6" s="123">
        <f>IF('Plan de acción 2025'!AE17="N/A",0,'Plan de acción 2025'!AF17)</f>
        <v>0.25</v>
      </c>
      <c r="G6" s="123">
        <f>SUMIF(C6:F6,"&gt;0",C6:F6)</f>
        <v>0.86488970588235292</v>
      </c>
      <c r="I6" s="132" t="str">
        <f>+'Plan de acción 2025'!$AL$17</f>
        <v>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v>
      </c>
      <c r="J6" s="132" t="str">
        <f>+'Plan de acción 2025'!$AN$17</f>
        <v>De acuerdo con las evidencias presentadas, el proceso cumplió con las 16 actividades programadas para el trimestre. La actividad relacionada con la actualización del plan de comunicaciones fue descartada del análisis, ya que no correspondía a este periodo y fue cumplida respectivamente. Por lo tanto, el indicador se cumple.
Se sugiere al proceso fortalecer las capacitaciones dirigidas al equipo de trabajo y mejorar la presentación de evidencias, especialmente en lo relacionado con la matriz semaforizada, con el fin de facilitar su análisis y seguimiento.</v>
      </c>
      <c r="K6" s="132" t="str">
        <f>+'Plan de acción 2025'!$AP$17</f>
        <v>De acuerdo con las evidencias aportadas, el proceso cumple parcialmente con el indicador, ya que de las 16 actividades programadas en el plan de medios y marketing para el periodo, se realizaron 13, quedando pendientes las relacionadas con el boletín informativo (solo se recibieron 6 de los 10 previstos en el año, la plataforma de PQRS y la app para atención al cliente. Se recomienda al proceso priorizar la gestión de las actividades faltantes, definiendo un plan claro de ejecución y seguimiento que permita cerrar brechas en el próximo trimestre y asegurar el cumplimiento total del plan establecido.</v>
      </c>
      <c r="L6" s="132" t="str">
        <f>+'Plan de acción 2025'!$AR$17</f>
        <v xml:space="preserve">De acuerdo con las evidencias aportadas, se evidencia el cumplimiento del indicador, teniendo en cuenta que de las 16 actividades progrmadas se ejecutaron 13 correspondiente al cuarto trimestre de 2025. Las acciones desarrolladas, que incluyeron estrategias de comunicación digital, fortalecimiento de los canales de atención al cliente, capacitación del personal y la realización de ferias de servicios en diferentes municipios del departamento, contribuyeron al fortalecimiento de la atención al cliente, la fidelización de los afiliados y el posicionamiento institucional de la Corporación Social de Cundinamarca. Se recomienda al proceso que para el pro{oxomo perido se retomen aquellas actividades que no se pudieron ejecutar y que pueden fortalecer el servicio prestado. </v>
      </c>
    </row>
    <row r="7" spans="2:12" ht="159.75" customHeight="1" thickBot="1" x14ac:dyDescent="0.25">
      <c r="B7" s="122" t="str">
        <f>+'Plan de acción 2025'!H18</f>
        <v>Realizar nuevas vinculaciones durante la vigencia</v>
      </c>
      <c r="C7" s="123">
        <f>IF('Plan de acción 2025'!W18="N/A",0,'Plan de acción 2025'!W18)</f>
        <v>0.25</v>
      </c>
      <c r="D7" s="123">
        <f>IF('Plan de acción 2025'!Z18="N/A",0,'Plan de acción 2025'!Z18)</f>
        <v>0.25</v>
      </c>
      <c r="E7" s="123">
        <f>IF('Plan de acción 2025'!AC18="N/A",0,'Plan de acción 2025'!AC18)</f>
        <v>0.25</v>
      </c>
      <c r="F7" s="123">
        <f>IF('Plan de acción 2025'!AE18="N/A",0,'Plan de acción 2025'!AF18)</f>
        <v>0.25</v>
      </c>
      <c r="G7" s="123">
        <f>SUMIF(C7:F7,"&gt;0",C7:F7)</f>
        <v>1</v>
      </c>
      <c r="I7" s="133" t="str">
        <f>+'Plan de acción 2025'!$AL$18</f>
        <v>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v>
      </c>
      <c r="J7" s="133" t="str">
        <f>+'Plan de acción 2025'!$AN$18</f>
        <v>De acuerdo con la evidencia aportada, durante el segundo trimestre del año 2025 el proceso alcanzó un cumplimiento del 69.17%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v>
      </c>
      <c r="K7" s="133" t="str">
        <f>+'Plan de acción 2025'!$AP$18</f>
        <v>De acuerdo con las evidencias aportadas, el proceso cumple con el indicador, ya que tenía programadas 150 nuevas afiliaciones y logró realizar 230, superando la meta establecida gracias a las diferentes ferias y actividades de promoción de la entidad. Se recomienda al proceso continuar fortaleciendo las estrategias de promoción y captación, priorizando aquellos espacios que han demostrado mayor efectividad para mantener y ampliar este nivel de desempeño en el siguiente trimestre.</v>
      </c>
      <c r="L7" s="133" t="str">
        <f>+'Plan de acción 2025'!$AR$18</f>
        <v>Con base en las evidencias presentadas, se evidencia el cumplimiento del indicador, dado que el proceso tenía proyectada la vinculación de 150 nuevos afiliados y alcanzó un total de 250 afiliaciones durante el período evaluado, superando ampliamente la meta establecida. Este resultado se atribuye a la ejecución de ferias y actividades de promoción institucional. Se recomienda dar continuidad y fortalecer las estrategias de promoción y captación, focalizando los escenarios que han demostrado mayor efectividad, con el fin de sostener y ampliar el nivel de desempeño alcanzado. Así mismo, se sugiere que para la próxima vigencia se revise y ajuste la meta del indicador, de manera que refleje de forma más realista la capacidad operativa del proceso y evite generar escenarios de sobrecumplimiento.</v>
      </c>
    </row>
    <row r="8" spans="2:12" ht="33" customHeight="1" thickBot="1" x14ac:dyDescent="0.25">
      <c r="B8" s="124" t="s">
        <v>568</v>
      </c>
      <c r="C8" s="118">
        <f>+AVERAGE(C4:C7)</f>
        <v>0.22775397065116162</v>
      </c>
      <c r="D8" s="118">
        <f>+AVERAGE(D4:D7)</f>
        <v>0.25</v>
      </c>
      <c r="E8" s="118">
        <f>+AVERAGE(E4:E7)</f>
        <v>0.23828125</v>
      </c>
      <c r="F8" s="118">
        <f>+AVERAGE(F4:F7)</f>
        <v>0.25</v>
      </c>
      <c r="G8" s="118">
        <f>+AVERAGE(G4:G7)</f>
        <v>0.96603522065116165</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7520-2B34-4520-A94A-419C2C59D958}">
  <dimension ref="B1:L8"/>
  <sheetViews>
    <sheetView zoomScale="70" zoomScaleNormal="70" workbookViewId="0">
      <selection activeCell="L4" sqref="L4"/>
    </sheetView>
  </sheetViews>
  <sheetFormatPr baseColWidth="10" defaultColWidth="10.85546875" defaultRowHeight="15" x14ac:dyDescent="0.25"/>
  <cols>
    <col min="1" max="1" width="4.28515625" style="125" customWidth="1"/>
    <col min="2" max="2" width="53.7109375" style="125" customWidth="1"/>
    <col min="3" max="6" width="10.85546875" style="125"/>
    <col min="7" max="7" width="18.7109375" style="125" customWidth="1"/>
    <col min="8" max="8" width="6" style="125" customWidth="1"/>
    <col min="9" max="9" width="62.85546875" style="125" customWidth="1"/>
    <col min="10" max="10" width="52.42578125" style="125" customWidth="1"/>
    <col min="11" max="11" width="53.85546875" style="125" customWidth="1"/>
    <col min="12" max="12" width="51.42578125" style="125" customWidth="1"/>
    <col min="13" max="16384" width="10.85546875" style="125"/>
  </cols>
  <sheetData>
    <row r="1" spans="2:12" ht="15.75" thickBot="1" x14ac:dyDescent="0.3"/>
    <row r="2" spans="2:12" ht="24" thickBot="1" x14ac:dyDescent="0.4">
      <c r="B2" s="283" t="s">
        <v>570</v>
      </c>
      <c r="C2" s="283"/>
      <c r="D2" s="283"/>
      <c r="E2" s="283"/>
      <c r="F2" s="283"/>
      <c r="G2" s="283"/>
      <c r="I2" s="283" t="s">
        <v>571</v>
      </c>
      <c r="J2" s="283"/>
      <c r="K2" s="283"/>
      <c r="L2" s="283"/>
    </row>
    <row r="3" spans="2:12" ht="45.75" thickBot="1" x14ac:dyDescent="0.3">
      <c r="B3" s="120" t="s">
        <v>559</v>
      </c>
      <c r="C3" s="121" t="s">
        <v>572</v>
      </c>
      <c r="D3" s="121" t="s">
        <v>573</v>
      </c>
      <c r="E3" s="121" t="s">
        <v>574</v>
      </c>
      <c r="F3" s="121" t="s">
        <v>575</v>
      </c>
      <c r="G3" s="121" t="s">
        <v>576</v>
      </c>
      <c r="I3" s="121" t="s">
        <v>564</v>
      </c>
      <c r="J3" s="121" t="s">
        <v>565</v>
      </c>
      <c r="K3" s="121" t="s">
        <v>566</v>
      </c>
      <c r="L3" s="121" t="s">
        <v>567</v>
      </c>
    </row>
    <row r="4" spans="2:12" ht="147.75" customHeight="1" thickBot="1" x14ac:dyDescent="0.3">
      <c r="B4" s="126" t="str">
        <f>+'Plan de acción 2025'!H19</f>
        <v>Beneficiar el 20% de los afiliados y beneficiarios con las actividades y servicios de bienestar que presta la Corporación.</v>
      </c>
      <c r="C4" s="127">
        <f>IF('Plan de acción 2025'!W19="N/A",0,'Plan de acción 2025'!W19)</f>
        <v>0.25</v>
      </c>
      <c r="D4" s="127">
        <f>IF('Plan de acción 2025'!Z19="N/A",0,'Plan de acción 2025'!Z19)</f>
        <v>0.25</v>
      </c>
      <c r="E4" s="127">
        <f>IF('Plan de acción 2025'!AC19="N/A",0,'Plan de acción 2025'!AC19)</f>
        <v>0.25</v>
      </c>
      <c r="F4" s="127">
        <f>IF('Plan de acción 2025'!AF9="N/A",0,'Plan de acción 2025'!AF19)</f>
        <v>0.25</v>
      </c>
      <c r="G4" s="127">
        <f>SUMIF(C4:F4,"&gt;0",C4:F4)</f>
        <v>1</v>
      </c>
      <c r="I4" s="132" t="str">
        <f>+'Plan de acción 2025'!$AL$19</f>
        <v>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v>
      </c>
      <c r="J4" s="132" t="str">
        <f>+'Plan de acción 2025'!$AN$19</f>
        <v>De acuerdo con las evidencias presentadas, el proceso cumplió con el indicador para el segundo trimestre de 2025, beneficiando a 113 afiliados y beneficiarios mediante diferentes conferencias sobre manejo de estrés y ansiedad, tristeza y depresión, y resolución de conflictos, así como la entrega de kits de primeros auxilios, libros y anchetas. 
Se sugiere al proceso continuar con las actividades de bienestar, fortaleciendo la participación y aprovechando las alianzas establecidas para lograr un mayor impacto y mejores resultados en los próximos periodos.</v>
      </c>
      <c r="K4" s="132" t="str">
        <f>+'Plan de acción 2025'!$AP$19</f>
        <v>De acuerdo con las evidencias, el proceso cumple con el indicador, ya que debía beneficiar a 50 afiliados con actividades de bienestar y logró impactar a 108, a través de diversas actividades de capacitación. No obstante, se evidencia que, aunque el proceso ha generado varias alianzas, estas aún no están siendo difundidas entre los afiliados, lo que limita su alcance y aprovechamiento. Se recomienda fortalecer la estrategia de divulgación de las alianzas y actividades disponibles, garantizando que los afiliados conozcan oportunamente la oferta y puedan acceder a los beneficios gestionados.</v>
      </c>
      <c r="L4" s="132" t="str">
        <f>+'Plan de acción 2025'!$AR$19</f>
        <v xml:space="preserve">El proceso cumple con el indicador establecido para el cuarto trimestre, beneficando a  3.183 personas con actividades de bienestar como incentivos, kits, herramientas tecnologicas, diplomaods y otros. Sin embargo se le recomienda la proceso completar las evidencias y gestionar una mejor presentación de las mismas para el próximo periodo. </v>
      </c>
    </row>
    <row r="5" spans="2:12" ht="166.5" customHeight="1" thickBot="1" x14ac:dyDescent="0.3">
      <c r="B5" s="126" t="str">
        <f>+'Plan de acción 2025'!H20</f>
        <v>Beneficiar a los afiliados con actividades   encaminadas a difundir y promocionar el portafolio de servicios de la entidad. Asesorando y tramitando tanto créditos como afiliaciones de manera virtual y presencial  en los diferentes municipios del Departamento.</v>
      </c>
      <c r="C5" s="127">
        <f>IF('Plan de acción 2025'!W20="N/A",0,'Plan de acción 2025'!W20)</f>
        <v>0.23958333333333334</v>
      </c>
      <c r="D5" s="127">
        <f>IF('Plan de acción 2025'!Z20="N/A",0,'Plan de acción 2025'!Z20)</f>
        <v>0.25</v>
      </c>
      <c r="E5" s="127">
        <f>IF('Plan de acción 2025'!AC20="N/A",0,'Plan de acción 2025'!AC20)</f>
        <v>0.25</v>
      </c>
      <c r="F5" s="127">
        <f>IF('Plan de acción 2025'!AF10="N/A",0,'Plan de acción 2025'!AF20)</f>
        <v>0.25</v>
      </c>
      <c r="G5" s="127">
        <f>SUMIF(C5:F5,"&gt;0",C5:F5)</f>
        <v>0.98958333333333337</v>
      </c>
      <c r="I5" s="132" t="str">
        <f>+'Plan de acción 2025'!$AL$20</f>
        <v>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v>
      </c>
      <c r="J5" s="132" t="str">
        <f>+'Plan de acción 2025'!$AN$20</f>
        <v>De acuerdo con las evidencias revisadas, el proceso cumplió con el indicador para el segundo trimestre de 2025, visitando 63 municipios del departamento, con respecto a los 30 municipios programados. Las visitas se enfocaron en la difusión y promoción del portafolio de servicios, así como en la asesoría y trámite de créditos y afiliaciones.
Se sugiere programar visitas a los municipios de las provincias de Oriente, Ubaté, parte del Tequendama, Guavio y Almeidas, que no han sido cubiertos, y mantener la presencia institucional en los demás municipios para fortalecer la cobertura y el posicionamiento de la entidad y los servicios prestados.</v>
      </c>
      <c r="K5" s="132" t="str">
        <f>+'Plan de acción 2025'!$AP$20</f>
        <v>Con base en las evidencias aportadas por el proceso, se verifica que el indicador cumple, dado que se visitaron 88 municipios, superando la meta trimestral establecida de 30 municipios. Este resultado refleja una eficiente promoción del portafoliode servicios  en el departamento.
Se recomienda ajustar la meta del próximo trimestre con el fin de evitar la sobreestimación del indicador y mejorar la precisión de la medición. Asimismo, se sugiere priorizar la promoción en las provincias donde las visistas han sido limitadas como Oriente, Centro Sabana y Guavió fortaleciendo la cobertura territorial de la entidad.</v>
      </c>
      <c r="L5" s="132" t="str">
        <f>+'Plan de acción 2025'!$AR$20</f>
        <v>Con base en las evidencias presentadas por el proceso, se constata el cumplimiento del indicador, habiéndose visitado 83 municipios durante el trimestre. Se evidencia una eficiente promoción del portafoio de servicios en el Departamento. Este resultado evidencia una promoción efectiva del portafolio de servicios en el departamento. Se sugiere ajustar la meta para la próxima vigencia, con el fin de evitar sobreestimaciones y mejorar la precisión en la medición del indicador. Se destaca que el proceso accedio a todas las provincias.</v>
      </c>
    </row>
    <row r="6" spans="2:12" ht="183.75" customHeight="1" thickBot="1" x14ac:dyDescent="0.3">
      <c r="B6" s="126" t="str">
        <f>+'Plan de acción 2025'!H21</f>
        <v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v>
      </c>
      <c r="C6" s="127">
        <f>IF('Plan de acción 2025'!W21="N/A",0,'Plan de acción 2025'!W21)</f>
        <v>0</v>
      </c>
      <c r="D6" s="127">
        <f>IF('Plan de acción 2025'!Z21="N/A",0,'Plan de acción 2025'!Z21)</f>
        <v>0.43023255813953487</v>
      </c>
      <c r="E6" s="127">
        <f>IF('Plan de acción 2025'!AC21="N/A",0,'Plan de acción 2025'!AC21)</f>
        <v>0</v>
      </c>
      <c r="F6" s="127">
        <f>IF('Plan de acción 2025'!AF11="N/C6A",0,'Plan de acción 2025'!AF21)</f>
        <v>0.55208333333333337</v>
      </c>
      <c r="G6" s="127">
        <f>SUMIF(C6:F6,"&gt;0",C6:F6)</f>
        <v>0.98231589147286824</v>
      </c>
      <c r="I6" s="133" t="str">
        <f>+'Plan de acción 2025'!$AL$21</f>
        <v>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v>
      </c>
      <c r="J6" s="133" t="str">
        <f>+'Plan de acción 2025'!$AN$21</f>
        <v>De acuerdo con las evidencias aportadas, se hace necesario ajustar el total de subsidios activos de 49 a 43, de los cuales se desembolsaron 37 durante el primer semestre del año, lo que representa un cumplimiento satisfactorio del indicador. Se sugiere al proceso dar seguimiento a los subsidios pendientes de giro y subir como evidencia los soportes de la pérdida del beneficio de aquellos que lo hayan perdido, para garantizar la trazabilidad de la información y fortalecer el control del indicador.</v>
      </c>
      <c r="K6" s="133" t="str">
        <f>+'Plan de acción 2025'!$AP$21</f>
        <v xml:space="preserve">El indicador no presenta medición para el periodo evaluado. No obstante, se revisaron las evidencias aportadas por el proceso y se verificó el giro de 19 subsidios educativos, así como 2 personas que perdieron el incentivo. Se identificaron inconsistencias en algunos registros, asi como beneficiarios que no cuentan con evidencias durante el mes de septiembre.
Se recomienda realizar la verificación y actualización de los registros de beneficiarios, asegurando la trazabilidad completa de los subsidios girados y entregados durante el periodo. Asimismo, se sugiere fortalecer los controles internos para garantizar la oportunidad y precisión enel proximo periodo. </v>
      </c>
      <c r="L6" s="133" t="str">
        <f>+'Plan de acción 2025'!$AR$21</f>
        <v>Durante el segundo semestre de 2025 se giraron un total de 53 subsidios,  por un valor de un salario minimo para cada uno , lo cual cumple con el indicador. Se recomienda al proceso completar las evidencias de las personas que hacen falta, debido a que se registran 42 de los 53. Igualmente se solicita indicar si en el semestre se presentaron perdidas de subsidios y anexar la respectiva resolución.</v>
      </c>
    </row>
    <row r="7" spans="2:12" s="98" customFormat="1" ht="35.25" customHeight="1" thickBot="1" x14ac:dyDescent="0.3">
      <c r="B7" s="130" t="s">
        <v>568</v>
      </c>
      <c r="C7" s="131">
        <f>AVERAGE(C4:C6)</f>
        <v>0.16319444444444445</v>
      </c>
      <c r="D7" s="131">
        <f>AVERAGE(D4:D6)</f>
        <v>0.31007751937984496</v>
      </c>
      <c r="E7" s="131">
        <f>AVERAGE(E4:E6)</f>
        <v>0.16666666666666666</v>
      </c>
      <c r="F7" s="131">
        <f>AVERAGE(F4:F6)</f>
        <v>0.35069444444444448</v>
      </c>
      <c r="G7" s="131">
        <f>AVERAGE(G4:G6)</f>
        <v>0.99063307493540054</v>
      </c>
      <c r="I7" s="125"/>
      <c r="J7" s="125"/>
      <c r="K7" s="125"/>
      <c r="L7" s="125"/>
    </row>
    <row r="8" spans="2:12" x14ac:dyDescent="0.25">
      <c r="C8" s="125">
        <f>(+C4+C5+C6)/3</f>
        <v>0.16319444444444445</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CF0D-C1CC-4241-990A-E424F7034EF9}">
  <dimension ref="B1:L7"/>
  <sheetViews>
    <sheetView topLeftCell="C1" zoomScale="85" zoomScaleNormal="85" workbookViewId="0">
      <selection activeCell="L6" sqref="L6"/>
    </sheetView>
  </sheetViews>
  <sheetFormatPr baseColWidth="10" defaultColWidth="10.85546875" defaultRowHeight="15" x14ac:dyDescent="0.25"/>
  <cols>
    <col min="1" max="1" width="3.42578125" style="134" customWidth="1"/>
    <col min="2" max="2" width="37.28515625" style="134" customWidth="1"/>
    <col min="3" max="3" width="11.42578125" style="134" customWidth="1"/>
    <col min="4" max="5" width="11" style="134" customWidth="1"/>
    <col min="6" max="6" width="10.42578125" style="134" customWidth="1"/>
    <col min="7" max="7" width="19.42578125" style="134" customWidth="1"/>
    <col min="8" max="8" width="6" style="134" customWidth="1"/>
    <col min="9" max="9" width="64.5703125" style="134" customWidth="1"/>
    <col min="10" max="12" width="55.85546875" style="134" customWidth="1"/>
    <col min="13" max="16384" width="10.85546875" style="134"/>
  </cols>
  <sheetData>
    <row r="1" spans="2:12" ht="15.75" thickBot="1" x14ac:dyDescent="0.3"/>
    <row r="2" spans="2:12" ht="24" thickBot="1" x14ac:dyDescent="0.4">
      <c r="B2" s="283" t="s">
        <v>577</v>
      </c>
      <c r="C2" s="283"/>
      <c r="D2" s="283"/>
      <c r="E2" s="283"/>
      <c r="F2" s="283"/>
      <c r="G2" s="283"/>
      <c r="I2" s="283" t="s">
        <v>571</v>
      </c>
      <c r="J2" s="283"/>
      <c r="K2" s="283"/>
      <c r="L2" s="283"/>
    </row>
    <row r="3" spans="2:12" ht="45.75" thickBot="1" x14ac:dyDescent="0.3">
      <c r="B3" s="120" t="s">
        <v>559</v>
      </c>
      <c r="C3" s="120" t="s">
        <v>560</v>
      </c>
      <c r="D3" s="120" t="s">
        <v>561</v>
      </c>
      <c r="E3" s="120" t="s">
        <v>562</v>
      </c>
      <c r="F3" s="120" t="s">
        <v>563</v>
      </c>
      <c r="G3" s="120" t="s">
        <v>576</v>
      </c>
      <c r="I3" s="121" t="s">
        <v>564</v>
      </c>
      <c r="J3" s="121" t="s">
        <v>565</v>
      </c>
      <c r="K3" s="121" t="s">
        <v>566</v>
      </c>
      <c r="L3" s="121" t="s">
        <v>567</v>
      </c>
    </row>
    <row r="4" spans="2:12" ht="162" customHeight="1" thickBot="1" x14ac:dyDescent="0.3">
      <c r="B4" s="135" t="str">
        <f>+'Plan de acción 2025'!H22</f>
        <v xml:space="preserve">Colocación de créditos. </v>
      </c>
      <c r="C4" s="136">
        <f>IF('Plan de acción 2025'!W22="N/A",0,'Plan de acción 2025'!W22)</f>
        <v>0.10133333333333333</v>
      </c>
      <c r="D4" s="136">
        <f>IF('Plan de acción 2025'!Z22="N/A",0,'Plan de acción 2025'!Z22)</f>
        <v>0.19533333333333333</v>
      </c>
      <c r="E4" s="136">
        <f>IF('Plan de acción 2025'!AC22="N/A",0,'Plan de acción 2025'!AC22)</f>
        <v>0.24866666666666667</v>
      </c>
      <c r="F4" s="136">
        <f>IF('Plan de acción 2025'!AF22="N/A",0,'Plan de acción 2025'!AF22)</f>
        <v>0.22666666666666666</v>
      </c>
      <c r="G4" s="136">
        <f>SUMIF(C4:F4,"&gt;0",C4:F4)</f>
        <v>0.77200000000000002</v>
      </c>
      <c r="I4" s="132" t="str">
        <f>+'Plan de acción 2025'!$AL$22</f>
        <v>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v>
      </c>
      <c r="J4" s="132" t="str">
        <f>+'Plan de acción 2025'!$AN$22</f>
        <v>Durante el segundo trimestre de 2025 se desembolsaron 293 créditos por un valor total de $7.333.436.213, frente a una meta de 550 créditos, por lo que el indicador no se cumple.
Se recomienda realizar un análisis de las causas que han impactado la colocación de créditos, implementar estrategias comerciales más agresivas y fortalecer las acciones de promoción y acompañamiento a los afiliados para alcanzar las metas establecidas en los próximos periodos.</v>
      </c>
      <c r="K4" s="132" t="str">
        <f>+'Plan de acción 2025'!$AP$22</f>
        <v>Durante el tercer trimestre de 2025 se desembolsaron 373 créditos por un valor total de $10.058.628.303, sin alcanzar la meta de 550 créditos para el periodo. El resultado evidencia un cumplimiento parcial del indicador y refleja la necesidad de fortalecer las acciones de colocación y seguimiento a los afiliados potenciales.
Se recomienda analizar las causas que limitaron el cumplimiento de la meta, identificando los factores operativos o de demanda que influyeron en la reducción del número de créditos desembolsados. Asimismo, se sugiere implementar estrategias de promoción y acompañamiento más efectivas, con el fin de mejorar la cobertura y la colocación de créditos en el próximo trimestre.</v>
      </c>
      <c r="L4" s="132" t="str">
        <f>+'Plan de acción 2025'!$AR$22</f>
        <v>En el cuarto trimestre de 2025, se aprobaron y desembolsaron 340 créditos por un valor total de $7.044.673.781, superando la meta trimestral establecida de 300 créditos. Este resultado evidencia el cumplimiento del indicador correspondiente al período evaluado. No obstante, al consolidar los resultados de la vigencia, no se alcanza la meta anual proyectada de 1.500 créditos, teniendo en cuenta que al cierre del año se registró un total de 1.158 créditos desembolsados. Asimismo, se sugiere implementar estrategias de promoción y acompañamiento más efectivas, con el fin de mejorar la cobertura y la colocación de créditos en el próximo año.</v>
      </c>
    </row>
    <row r="5" spans="2:12" ht="190.5" customHeight="1" thickBot="1" x14ac:dyDescent="0.3">
      <c r="B5" s="135" t="str">
        <f>+'Plan de acción 2025'!H23</f>
        <v>Asegurar el cumplimiento de tiempos en los Créditos hipotecarios.</v>
      </c>
      <c r="C5" s="136">
        <f>IF('Plan de acción 2025'!W23="N/A",0,'Plan de acción 2025'!W23)</f>
        <v>0.25</v>
      </c>
      <c r="D5" s="136">
        <f>IF('Plan de acción 2025'!Z23="N/A",0,'Plan de acción 2025'!Z23)</f>
        <v>0.19047619047619047</v>
      </c>
      <c r="E5" s="136">
        <f>IF('Plan de acción 2025'!AC23="N/A",0,'Plan de acción 2025'!AC23)</f>
        <v>0.11206896551724138</v>
      </c>
      <c r="F5" s="136">
        <f>IF('Plan de acción 2025'!AF23="N/A",0,'Plan de acción 2025'!AF23)</f>
        <v>0.1125</v>
      </c>
      <c r="G5" s="136">
        <f>SUMIF(C5:F5,"&gt;0",C5:F5)</f>
        <v>0.66504515599343184</v>
      </c>
      <c r="I5" s="132" t="str">
        <f>+'Plan de acción 2025'!$AL$23</f>
        <v>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v>
      </c>
      <c r="J5" s="132" t="str">
        <f>+'Plan de acción 2025'!$AN$23</f>
        <v>Durante el segundo trimestre de 2025, el indicador de desembolso de créditos hipotecarios cumple parcialmente, debido a que se desembolsaron 21 créditos hipotecarios, de los cuales 16 fueron girados en un plazo menor a 60 días y 5 en tiempos superiores a 60 días. 
Se sugiere al proceso mejorar la documentación y evidencia que permitan identificar con claridad las causas que dificultaron la entrega oportuna de algunos créditos, con el fin de implementar acciones correctivas y optimizar los tiempos de desembolso.</v>
      </c>
      <c r="K5" s="132" t="str">
        <f>+'Plan de acción 2025'!$AP$23</f>
        <v>Durante el tercer trimestre de 2025  de los 373 créditos desembolsados, 29 corresponden a créditos de vivienda hipotecarios. Se verificó que 13 de estos fueron desembolsados en un periodo menor a 60 días, por lo que el indicador cumple parcialmente la meta. Lo ideal sería que la totalidad de los créditos de vivienda se desembolsaran dentro del plazo establecido, garantizando oportunidad en la gestión.
Se recomienda analizar las causas que generan demoras en el desembolso de los créditos hipotecarios y establecer acciones de mejora en los procesos de evaluación, aprobación y formalización. Asimismo, se sugiere fortalecer la coordinación entre las áreas involucradas para optimizar los tiempos de respuesta y asegurar que los desembolsos se realicen dentro del plazo meta de 60 días en los próximos periodos.</v>
      </c>
      <c r="L5" s="132" t="str">
        <f>+'Plan de acción 2025'!$AR$23</f>
        <v>Durante el cuarto trimestre de 2025  de los 340 créditos desembolsados, 20 corresponden a créditos de vivienda hipotecarios. Se verificó que 9 de estos fueron desembolsados en un periodo menor a 60 días, por lo que el indicador cumple parcialmente la meta. Lo ideal sería que la totalidad de los créditos de vivienda se desembolsaran dentro del plazo establecido, garantizando oportunidad en la gestión.
Se recomienda analizar las causas que generan demoras en el desembolso de los créditos hipotecarios y establecer acciones de mejora en los procesos de evaluación, aprobación y formalización. Asimismo, se sugiere fortalecer la coordinación entre las áreas involucradas para optimizar los tiempos de respuesta y asegurar que los desembolsos se realicen dentro del plazo meta de 60 días en los próximos periodos.</v>
      </c>
    </row>
    <row r="6" spans="2:12" ht="172.5" customHeight="1" thickBot="1" x14ac:dyDescent="0.3">
      <c r="B6" s="135" t="str">
        <f>+'Plan de acción 2025'!H24</f>
        <v>Asegurar el cumplimiento de tiempos en el Crédito de consumo.</v>
      </c>
      <c r="C6" s="136">
        <f>IF('Plan de acción 2025'!W24="N/A",0,'Plan de acción 2025'!W24)</f>
        <v>0.22887323943661972</v>
      </c>
      <c r="D6" s="136">
        <f>IF('Plan de acción 2025'!Z24="N/A",0,'Plan de acción 2025'!Z24)</f>
        <v>0.22977941176470587</v>
      </c>
      <c r="E6" s="136">
        <f>IF('Plan de acción 2025'!AC24="N/A",0,'Plan de acción 2025'!AC24)</f>
        <v>0.21220930232558138</v>
      </c>
      <c r="F6" s="136">
        <f>IF('Plan de acción 2025'!AF24="N/A",0,'Plan de acción 2025'!AF24)</f>
        <v>0.21640624999999999</v>
      </c>
      <c r="G6" s="136">
        <f>SUMIF(C6:F6,"&gt;0",C6:F6)</f>
        <v>0.88726820352690694</v>
      </c>
      <c r="I6" s="133" t="str">
        <f>+'Plan de acción 2025'!$AL$24</f>
        <v>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v>
      </c>
      <c r="J6" s="133" t="str">
        <f>+'Plan de acción 2025'!$AN$24</f>
        <v>El indicador de desembolso de créditos de consumo cumple parcialmente, ya que durante el segundo trimestre se entregaron oportunamente 250 de los 272 créditos desembolsados, mientras que 22 presentaron demoras en la entrega. Se recomienda fortalecer el registro y documentación de las causas que generan demoras en el desembolso de créditos de consumo, para facilitar la identificación de obstáculos y promover acciones que optimicen los tiempos de entrega.</v>
      </c>
      <c r="K6" s="133" t="str">
        <f>+'Plan de acción 2025'!$AP$24</f>
        <v>El indicador de desembolso de créditos de consumo se cumple parcialmente, ya que durante el tercer trimestre se entregaron oportunamente 292 de 344 créditos desembolsados, mientras que 52 presentaron demoras en la entrega. Se recomienda fortalecer el registro y documentación de las causas que generan demoras en el desembolso de créditos de consumo, para facilitar la identificación de las demoras y promover acciones que optimicen los tiempos de entrega.</v>
      </c>
      <c r="L6" s="133" t="str">
        <f>+'Plan de acción 2025'!$AR$24</f>
        <v>El indicador de desembolso de créditos de consumo se cumple parcialmente, ya que se entregaron oportunamente 277 de 320 créditos desembolsados, mientras que 43 presentaron demoras en la entrega. Se recomienda fortalecer el registro y documentación de las causas que generan demoras en el desembolso de créditos de consumo, para facilitar la identificación de las demoras y promover acciones que optimicen los tiempos de entrega.</v>
      </c>
    </row>
    <row r="7" spans="2:12" s="138" customFormat="1" ht="21.75" customHeight="1" thickBot="1" x14ac:dyDescent="0.3">
      <c r="B7" s="130" t="s">
        <v>568</v>
      </c>
      <c r="C7" s="137">
        <f>+AVERAGE(C4:C6)</f>
        <v>0.19340219092331767</v>
      </c>
      <c r="D7" s="137">
        <f>+AVERAGE(D4:D6)</f>
        <v>0.20519631185807655</v>
      </c>
      <c r="E7" s="137">
        <f>+AVERAGE(E4:E6)</f>
        <v>0.19098164483649649</v>
      </c>
      <c r="F7" s="137">
        <f>+AVERAGE(F4:F6)</f>
        <v>0.18519097222222222</v>
      </c>
      <c r="G7" s="137">
        <f>+AVERAGE(G4:G6)</f>
        <v>0.77477111984011293</v>
      </c>
      <c r="I7" s="134"/>
      <c r="J7" s="134"/>
      <c r="K7" s="134"/>
      <c r="L7" s="134"/>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A393-53E5-4275-BAA0-7BBB10FF3C19}">
  <dimension ref="B1:L8"/>
  <sheetViews>
    <sheetView topLeftCell="F1" zoomScale="90" zoomScaleNormal="90" workbookViewId="0">
      <selection activeCell="L7" sqref="L7"/>
    </sheetView>
  </sheetViews>
  <sheetFormatPr baseColWidth="10" defaultColWidth="10.85546875" defaultRowHeight="15" x14ac:dyDescent="0.25"/>
  <cols>
    <col min="1" max="1" width="3.42578125" style="134" customWidth="1"/>
    <col min="2" max="2" width="37.28515625" style="134" customWidth="1"/>
    <col min="3" max="3" width="11.42578125" style="134" customWidth="1"/>
    <col min="4" max="5" width="11" style="134" customWidth="1"/>
    <col min="6" max="6" width="10.42578125" style="134" customWidth="1"/>
    <col min="7" max="7" width="19.42578125" style="134" customWidth="1"/>
    <col min="8" max="8" width="6" style="134" customWidth="1"/>
    <col min="9" max="12" width="62.140625" style="134" customWidth="1"/>
    <col min="13" max="16384" width="10.85546875" style="134"/>
  </cols>
  <sheetData>
    <row r="1" spans="2:12" ht="15.75" thickBot="1" x14ac:dyDescent="0.3"/>
    <row r="2" spans="2:12" ht="24" thickBot="1" x14ac:dyDescent="0.4">
      <c r="B2" s="283" t="s">
        <v>577</v>
      </c>
      <c r="C2" s="283"/>
      <c r="D2" s="283"/>
      <c r="E2" s="283"/>
      <c r="F2" s="283"/>
      <c r="G2" s="283"/>
      <c r="I2" s="283" t="s">
        <v>558</v>
      </c>
      <c r="J2" s="283"/>
      <c r="K2" s="283"/>
      <c r="L2" s="283"/>
    </row>
    <row r="3" spans="2:12" ht="45.75" thickBot="1" x14ac:dyDescent="0.3">
      <c r="B3" s="120" t="s">
        <v>559</v>
      </c>
      <c r="C3" s="120" t="s">
        <v>560</v>
      </c>
      <c r="D3" s="120" t="s">
        <v>561</v>
      </c>
      <c r="E3" s="120" t="s">
        <v>562</v>
      </c>
      <c r="F3" s="120" t="s">
        <v>563</v>
      </c>
      <c r="G3" s="120" t="s">
        <v>576</v>
      </c>
      <c r="I3" s="121" t="s">
        <v>564</v>
      </c>
      <c r="J3" s="121" t="s">
        <v>565</v>
      </c>
      <c r="K3" s="121" t="s">
        <v>566</v>
      </c>
      <c r="L3" s="121" t="s">
        <v>567</v>
      </c>
    </row>
    <row r="4" spans="2:12" ht="136.5" customHeight="1" thickBot="1" x14ac:dyDescent="0.3">
      <c r="B4" s="135" t="str">
        <f>+'Plan de acción 2025'!H25</f>
        <v>Disminuir el porcentaje de cartera vencida en dos puntos(2), de acuerdo con el resultado del indicador a 31 diciembre del año inmediatamente anterior</v>
      </c>
      <c r="C4" s="136">
        <f>IF('Plan de acción 2025'!W25="N/A",0,'Plan de acción 2025'!W25)</f>
        <v>0.2155172413793103</v>
      </c>
      <c r="D4" s="136">
        <f>IF('Plan de acción 2025'!Z25="N/A",0,'Plan de acción 2025'!Z25)</f>
        <v>0.21034482758620687</v>
      </c>
      <c r="E4" s="136">
        <f>IF('Plan de acción 2025'!AC25="N/A",0,'Plan de acción 2025'!AC25)</f>
        <v>0.21637931034482755</v>
      </c>
      <c r="F4" s="136">
        <f>IF('Plan de acción 2025'!AF25="N/A",0,'Plan de acción 2025'!AF25)</f>
        <v>0.22155172413793101</v>
      </c>
      <c r="G4" s="136">
        <f>SUMIF(C4:F4,"&gt;0",C4:F4)</f>
        <v>0.86379310344827576</v>
      </c>
      <c r="I4" s="132" t="str">
        <f>+'Plan de acción 2025'!$AL$25</f>
        <v>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v>
      </c>
      <c r="J4" s="132" t="str">
        <f>+'Plan de acción 2025'!$AN$25</f>
        <v>El porcentaje de cartera en estado jurídico para el segundo trimestre fue del 33,6%, superior a la meta esperada del 29%, lo que indica que un número considerable de casos está llegando a instancias legales, dificultando la recuperación efectiva de los recursos. Por lo tanto el indicador no cumple.
Se recomienda al proceso implementar nuevas estrategias de cobro que permitan actuar con mayor anticipación y prevenir que más obligaciones lleguen a esta etapa. Es fundamental revisar y fortalecer las acciones en las etapas previas para mejorar los resultados en los próximos meses y evitar el aumento de la cartera en estado jurídico.</v>
      </c>
      <c r="K4" s="132" t="str">
        <f>+'Plan de acción 2025'!$AP$25</f>
        <v>Durante el tercer trimestre se evidencia que el proceso no cumple con el indicador, ya que la cartera jurídica registró un 32.9%, superando en 4 puntos la meta establecida. Si bien la entidad ha implementado una medida de alivio económico, se recomienda fortalecer su difusión para incentivar la acogida por parte de los afiliados y contribuir a que en el próximo trimestre el indicador avance hacia el cumplimiento de su propósito.</v>
      </c>
      <c r="L4" s="132" t="str">
        <f>+'Plan de acción 2025'!$AR$25</f>
        <v>Durante el cuarto trimestre, el proceso no cumple con el indicador, ya que la cartera jurídica alcanzó un 32%, superando en 3 puntos la meta establecida. Aunque la entidad implementó una medida de alivio económico, se recomienda reforzar su difusión para incentivar la participación de los afiliados y favorecer el avance del indicador hacia el cumplimiento de su propósito.</v>
      </c>
    </row>
    <row r="5" spans="2:12" ht="112.5" customHeight="1" thickBot="1" x14ac:dyDescent="0.3">
      <c r="B5" s="135" t="str">
        <f>+'Plan de acción 2025'!H26</f>
        <v xml:space="preserve">Aplicar el total del valor recaudado de las diferentes pagadurías y recibos por ventanilla. </v>
      </c>
      <c r="C5" s="136">
        <f>IF('Plan de acción 2025'!W26="N/A",0,'Plan de acción 2025'!W26)</f>
        <v>0.25</v>
      </c>
      <c r="D5" s="136">
        <f>IF('Plan de acción 2025'!Z26="N/A",0,'Plan de acción 2025'!Z26)</f>
        <v>0.25</v>
      </c>
      <c r="E5" s="136">
        <f>IF('Plan de acción 2025'!AC26="N/A",0,'Plan de acción 2025'!AC26)</f>
        <v>0.25</v>
      </c>
      <c r="F5" s="136">
        <f>IF('Plan de acción 2025'!AF26="N/A",0,'Plan de acción 2025'!AF26)</f>
        <v>0.25709536263114247</v>
      </c>
      <c r="G5" s="136">
        <f>SUMIF(C5:F5,"&gt;0",C5:F5)</f>
        <v>1.0070953626311425</v>
      </c>
      <c r="I5" s="132" t="str">
        <f>+'Plan de acción 2025'!$AL$26</f>
        <v>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v>
      </c>
      <c r="J5" s="132" t="str">
        <f>+'Plan de acción 2025'!$AN$26</f>
        <v>El indicador cumple con la meta establecida de realizar los desgloces en más del 95%, reportando un resultado del 98.5% durante el segundo trimestre, lo que evidencia una gestión efectiva en la articulación con las pagadurías.
No obstante, se recomienda continuar avanzando en las acciones necesarias para legalizar los ingresos correspondientes al primer trimestre, especialmente aquellos asociados a las pagadurías de Fosca, Ricaurte, departamento de Cundinamarca y Facatativá.</v>
      </c>
      <c r="K5" s="132" t="str">
        <f>+'Plan de acción 2025'!$AP$26</f>
        <v>El indicador cumple con la meta establecida, ya que se alcanzó un 98.5% de desgloses durante el tercer trimestre, superando la meta del 95% y evidenciando una gestión efectiva en la articulación con las pagadurías. No obstante, se recomienda continuar avanzando en las acciones necesarias para legalizar los ingresos pendientes, especialmente aquellos asociados a las pagadurías de Girardot, Departamento de Cundinamarca y Facatativá, con el fin de garantizar la trazabilidad y el saneamiento oportuno de la información financiera.</v>
      </c>
      <c r="L5" s="132" t="str">
        <f>+'Plan de acción 2025'!$AR$26</f>
        <v>El indicador cumple con la meta establecida, alcanzando un 98% de desgloses durante el cuarto trimestre, superando la meta del 95% y evidenciando una gestión efectiva en la articulación con las pagadurías. No obstante, se recomienda continuar avanzando en las acciones necesarias para legalizar los ingresos pendientes, con el fin de garantizar la trazabilidad y el saneamiento oportuno de la información financiera especialmente aquellas consignaciones de $30,000.</v>
      </c>
    </row>
    <row r="6" spans="2:12" ht="112.5" customHeight="1" thickBot="1" x14ac:dyDescent="0.3">
      <c r="B6" s="135" t="str">
        <f>+'Plan de acción 2025'!H27</f>
        <v>Disminuir el porcentaje de cartera en "estado persuasivo"</v>
      </c>
      <c r="C6" s="136">
        <f>IF('Plan de acción 2025'!W27="N/A",0,'Plan de acción 2025'!W27)</f>
        <v>0.25</v>
      </c>
      <c r="D6" s="136">
        <f>IF('Plan de acción 2025'!Z27="N/A",0,'Plan de acción 2025'!Z27)</f>
        <v>0.25</v>
      </c>
      <c r="E6" s="136">
        <f>IF('Plan de acción 2025'!AC27="N/A",0,'Plan de acción 2025'!AC27)</f>
        <v>0.25</v>
      </c>
      <c r="F6" s="136">
        <f>IF('Plan de acción 2025'!AF27="N/A",0,'Plan de acción 2025'!AF27)</f>
        <v>0.25</v>
      </c>
      <c r="G6" s="136">
        <f>SUMIF(C6:F6,"&gt;0",C6:F6)</f>
        <v>1</v>
      </c>
      <c r="I6" s="132" t="str">
        <f>+'Plan de acción 2025'!$AL$27</f>
        <v>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v>
      </c>
      <c r="J6" s="132" t="str">
        <f>+'Plan de acción 2025'!$AN$27</f>
        <v>El proceso muestra un buen resultado durante el segundo trimestre, manteniendo la cartera en estado persuasivo en un 2%, cumpliendo con la meta establecida. La estrategia de comunicación con los deudores mediante correos ha sido efectiva.
Sin embargo, no se evidencian registros de dichos correos. Se recomienda fortalecer la gestión incorporando más canales de contacto, como llamadas o mensajes, para mejorar el seguimiento y dejar constancia documental, con el fin de evitar que los deudores avancen a etapas dificiles de cobro.</v>
      </c>
      <c r="K6" s="132" t="str">
        <f>+'Plan de acción 2025'!$AP$27</f>
        <v>Durante el tercer trimestre, el indicador de mantener la cartera en estado persuasivo por debajo del 3% cumple, dado que el resultado obtenido fue de 2.3%, lo que evidencia un control adecuado de la cartera y una gestión efectiva en las acciones de seguimiento y recuperación.</v>
      </c>
      <c r="L6" s="132" t="str">
        <f>+'Plan de acción 2025'!$AR$27</f>
        <v>Durante el cuarto trimestre, el indicador de mantener la cartera en estado persuasivo por debajo del 3% se cumple, con un resultado de 1.8%. Esto evidencia un adecuado control de la cartera y una gestión efectiva en las acciones de seguimiento y recuperación.</v>
      </c>
    </row>
    <row r="7" spans="2:12" ht="112.5" customHeight="1" thickBot="1" x14ac:dyDescent="0.3">
      <c r="B7" s="135" t="str">
        <f>+'Plan de acción 2025'!H28</f>
        <v>Disminuir el porcentaje de cartera en estado pre-jurídico</v>
      </c>
      <c r="C7" s="136">
        <f>IF('Plan de acción 2025'!W28="N/A",0,'Plan de acción 2025'!W28)</f>
        <v>0.25</v>
      </c>
      <c r="D7" s="136">
        <f>IF('Plan de acción 2025'!Z28="N/A",0,'Plan de acción 2025'!Z28)</f>
        <v>0.25</v>
      </c>
      <c r="E7" s="136">
        <f>IF('Plan de acción 2025'!AC28="N/A",0,'Plan de acción 2025'!AC28)</f>
        <v>0.25</v>
      </c>
      <c r="F7" s="136">
        <f>IF('Plan de acción 2025'!AF28="N/A",0,'Plan de acción 2025'!AF28)</f>
        <v>0.25</v>
      </c>
      <c r="G7" s="136">
        <f>SUMIF(C7:F7,"&gt;0",C7:F7)</f>
        <v>1</v>
      </c>
      <c r="I7" s="133" t="str">
        <f>+'Plan de acción 2025'!$AL$28</f>
        <v>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v>
      </c>
      <c r="J7" s="133" t="str">
        <f>+'Plan de acción 2025'!$AN$28</f>
        <v>El proceso durante el segundo trimestre reporta un resultado del 2% en la cartera en estado pre-jurídico, cumpliendo con la meta establecida, gracias a la gestión realizada por el personal contratado.
Sin embargo, no se evidencian correos ni documentos que indiquen la estrategia de cobro implementada. Se recomienda que el proceso documente y entregue evidencias claras de las acciones y canales de acercamiento con los deudores, con el fin de fortalecer la gestión y evitar que la cartera avance a estados pre-jurídicos y jurídicos.</v>
      </c>
      <c r="K7" s="133" t="str">
        <f>+'Plan de acción 2025'!$AP$28</f>
        <v>Durante el tercer trimestre, el indicador de mantener la cartera en estado prejurídico por debajo del 3% cumple, registrando un resultado de 1.7%, lo que refleja un adecuado control del proceso y unas acciones de seguimiento oportunas que permitieron mantener la cartera dentro del rango esperado.</v>
      </c>
      <c r="L7" s="133" t="str">
        <f>+'Plan de acción 2025'!$AR$28</f>
        <v>En el cuarto trimestre, el indicador de mantener la cartera en estado prejurídico por debajo del 3% se cumple, con un resultado de 2.3%. Esto evidencia un control adecuado del proceso y acciones de seguimiento oportunas que permitieron mantener la cartera dentro del rango esperado.</v>
      </c>
    </row>
    <row r="8" spans="2:12" s="138" customFormat="1" ht="21.75" customHeight="1" thickBot="1" x14ac:dyDescent="0.3">
      <c r="B8" s="130" t="s">
        <v>568</v>
      </c>
      <c r="C8" s="137">
        <f>+AVERAGE(C4:C7)</f>
        <v>0.24137931034482757</v>
      </c>
      <c r="D8" s="137">
        <f>+AVERAGE(D4:D7)</f>
        <v>0.24008620689655172</v>
      </c>
      <c r="E8" s="137">
        <f>+AVERAGE(E4:E7)</f>
        <v>0.24159482758620687</v>
      </c>
      <c r="F8" s="137">
        <f>+AVERAGE(F4:F7)</f>
        <v>0.24466177169226838</v>
      </c>
      <c r="G8" s="137">
        <f>+AVERAGE(G4:G7)</f>
        <v>0.96772211651985462</v>
      </c>
      <c r="I8" s="134"/>
      <c r="J8" s="134"/>
      <c r="K8" s="134"/>
      <c r="L8" s="134"/>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55DB7-F8CD-4943-B1C0-6317E79B3A38}">
  <dimension ref="B1:L7"/>
  <sheetViews>
    <sheetView topLeftCell="E1" zoomScale="90" zoomScaleNormal="90" workbookViewId="0">
      <selection activeCell="K7" sqref="K7"/>
    </sheetView>
  </sheetViews>
  <sheetFormatPr baseColWidth="10" defaultColWidth="10.85546875" defaultRowHeight="14.25" x14ac:dyDescent="0.2"/>
  <cols>
    <col min="1" max="1" width="10.85546875" style="98"/>
    <col min="2" max="2" width="35.42578125" style="98" customWidth="1"/>
    <col min="3" max="6" width="10.85546875" style="98"/>
    <col min="7" max="7" width="14.42578125" style="98" customWidth="1"/>
    <col min="8" max="8" width="6" style="98" customWidth="1"/>
    <col min="9" max="10" width="61.42578125" style="98" customWidth="1"/>
    <col min="11" max="11" width="63.42578125" style="98" customWidth="1"/>
    <col min="12" max="12" width="61.42578125" style="98" customWidth="1"/>
    <col min="13" max="16384" width="10.85546875" style="98"/>
  </cols>
  <sheetData>
    <row r="1" spans="2:12" ht="15" thickBot="1" x14ac:dyDescent="0.25"/>
    <row r="2" spans="2:12" ht="37.5" customHeight="1" thickBot="1" x14ac:dyDescent="0.25">
      <c r="B2" s="284" t="s">
        <v>578</v>
      </c>
      <c r="C2" s="284"/>
      <c r="D2" s="284"/>
      <c r="E2" s="284"/>
      <c r="F2" s="284"/>
      <c r="G2" s="284"/>
      <c r="I2" s="284" t="s">
        <v>558</v>
      </c>
      <c r="J2" s="284"/>
      <c r="K2" s="284"/>
      <c r="L2" s="284"/>
    </row>
    <row r="3" spans="2:12" ht="60.75" thickBot="1" x14ac:dyDescent="0.25">
      <c r="B3" s="120" t="s">
        <v>559</v>
      </c>
      <c r="C3" s="120" t="s">
        <v>560</v>
      </c>
      <c r="D3" s="120" t="s">
        <v>561</v>
      </c>
      <c r="E3" s="120" t="s">
        <v>562</v>
      </c>
      <c r="F3" s="120" t="s">
        <v>563</v>
      </c>
      <c r="G3" s="120" t="s">
        <v>576</v>
      </c>
      <c r="I3" s="121" t="s">
        <v>564</v>
      </c>
      <c r="J3" s="121" t="s">
        <v>565</v>
      </c>
      <c r="K3" s="121" t="s">
        <v>566</v>
      </c>
      <c r="L3" s="121" t="s">
        <v>567</v>
      </c>
    </row>
    <row r="4" spans="2:12" ht="175.5" customHeight="1" thickBot="1" x14ac:dyDescent="0.25">
      <c r="B4" s="139" t="str">
        <f>+'Plan de acción 2025'!H29</f>
        <v>Realizar la  gestión contractual acorde con la programación establecida en el Plan Anual de Adquisiciones</v>
      </c>
      <c r="C4" s="140">
        <f>IF('Plan de acción 2025'!W29="N/A",0,'Plan de acción 2025'!W29)</f>
        <v>0.25</v>
      </c>
      <c r="D4" s="140">
        <f>IF('Plan de acción 2025'!Z29="N/A",0,'Plan de acción 2025'!Z29)</f>
        <v>0.25</v>
      </c>
      <c r="E4" s="140">
        <f>IF('Plan de acción 2025'!AC29="N/A",0,'Plan de acción 2025'!AC29)</f>
        <v>0.25</v>
      </c>
      <c r="F4" s="140">
        <f>IF('Plan de acción 2025'!AF29="N/A",0,'Plan de acción 2025'!AF29)</f>
        <v>0.19444444444444445</v>
      </c>
      <c r="G4" s="140">
        <f>SUMIF(C4:F4,"&gt;0",C4:F4)</f>
        <v>0.94444444444444442</v>
      </c>
      <c r="I4" s="128" t="str">
        <f>+'Plan de acción 2025'!$AL$29</f>
        <v>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v>
      </c>
      <c r="J4" s="128" t="str">
        <f>+'Plan de acción 2025'!$AN$29</f>
        <v>Si bien el proceso ha realizado un esfuerzo importante para cumplir con las contrataciones establecidas en el PAA, durante el trimestre se ejecutaron 2 de los 5 contratos programados. Adicionalmente, se evidenció que en junio el proceso realizó seguimiento a los contratos pendientes mediante el envío de correos electrónicos a los procesos responsables, lo que demuestra gestión para avanzar en la ejecución. Entre las contrataciones pendientes se encuentran: Bienestar y capacitación de afiliados; Adquisición de mobiliario; Aplicativo móvil para afiliados y los mencionados en el primer trimestre.
Se recuerda que los contratos de exámenes médicos y mantenimiento de vehículos fueron revisados en el trimestre anterior, y que el proceso de seguros se tiene previsto para el mes de agosto.
Se sugiere al proceso solicitar la actualización del PAA para la vigencia 2025, garantizando que la información refleje el estado real de ejecución y posibles contrataciones a determinado periodo.</v>
      </c>
      <c r="K4" s="128" t="str">
        <f>+'Plan de acción 2025'!$AP$29</f>
        <v>De acuerdo con las evidencias aportadas para el trimestre, el indicador no se cumple, ya que de las 4 contrataciones programadas solo se ejecutó 1 (seguros de bienes), quedando pendientes las relacionadas con centrales de riesgos, OpenIA Chat y licencias de firewall. No obstante, el proceso avanzó en contrataciones rezagadas de trimestres anteriores, como papelería, arreglos locativos, lavado de tanques, bienestar y capacitación tanto de funcionarios como de afiliados, sitio seguro web e iSolución. Se recomienda al proceso reforzar la programación y gestión oportuna de las contrataciones trimestrales, asegurando que las actividades proyectadas se ejecuten en el periodo correspondiente.</v>
      </c>
      <c r="L4" s="128" t="str">
        <f>+'Plan de acción 2025'!$AR$29</f>
        <v>En el mes de diciembre se efectuó una revisión y ajuste del Plan Anual de Adquisiciones (PAA), en el marco del seguimiento a su ejecución. Como resultado de este ejercicio, se retiraron del plan algunos procesos de contratación que no fueron adelantados, tales como OPEN IA, mantenimiento correctivo de equipos, renovación de IPv6 y el aplicativo de atención a afiliados.
De manera complementaria, se formalizó la contratación de las centrales de riesgo y del firewall, lo cual conllevó la actualización del PAA para el cuarto trimestre, así como otros ajustes derivados del avance del plan.
En consecuencia, se redefinió la programación trimestral de los procesos de contratación, quedando distribuida de la siguiente forma: 15 procesos en el primer trimestre, 4 en el segundo trimestre y 11 en el tercer trimestre.
Frente al indicador del cuarto trimestre, se presenta un cumplimiento parcial, dado que, de las 9 contrataciones programadas, se ejecutaron 7, manteniéndose pendientes 2 procesos.</v>
      </c>
    </row>
    <row r="5" spans="2:12" ht="143.25" customHeight="1" thickBot="1" x14ac:dyDescent="0.25">
      <c r="B5" s="139" t="str">
        <f>+'Plan de acción 2025'!H30</f>
        <v>Publicar a los entes de control del SIA observa la contratación mensual de la entidad</v>
      </c>
      <c r="C5" s="140">
        <f>IF('Plan de acción 2025'!W30="N/A",0,'Plan de acción 2025'!W30)</f>
        <v>0.25</v>
      </c>
      <c r="D5" s="140">
        <f>IF('Plan de acción 2025'!Z30="N/A",0,'Plan de acción 2025'!Z30)</f>
        <v>0.24242424242424243</v>
      </c>
      <c r="E5" s="140">
        <f>IF('Plan de acción 2025'!AC30="N/A",0,'Plan de acción 2025'!AC30)</f>
        <v>0.25</v>
      </c>
      <c r="F5" s="140">
        <f>IF('Plan de acción 2025'!AF30="N/A",0,'Plan de acción 2025'!AF30)</f>
        <v>0.25</v>
      </c>
      <c r="G5" s="140">
        <f>SUMIF(C5:F5,"&gt;0",C5:F5)</f>
        <v>0.99242424242424243</v>
      </c>
      <c r="I5" s="128" t="str">
        <f>+'Plan de acción 2025'!$AL$30</f>
        <v>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v>
      </c>
      <c r="J5" s="128" t="str">
        <f>+'Plan de acción 2025'!$AN$30</f>
        <v>De acuerdo con las evidencias revisadas, el proceso cumplió parcialmente con el indicador para el segundo trimestre, logrando la rendición de 33 de los 34 contratos, lo que equivale a un 97.05% de cumplimiento. El contrato 068 se rindió de manera extemporánea, mientras que el contrato 0009 con Axa Colpatria no fue reportado debido a que no presenta erogación presupuestal.
Adicionalmente, se evidencia que continúa pendiente el acta de inicio de los contratos 0004 con CIFIN y 0002 con Gran Imagen, lo que puede generar limitaciones en el soporte documental de la gestión contractual.
Se sugiere reforzar el control en la carga oportuna de la información en SIA Observa, así como asegurar la suscripción y archivo de las actas de inicio en todos los contratos, para garantizar el cumplimiento total del indicador y la trazabilidad de los procesos contractuales.</v>
      </c>
      <c r="K5" s="128" t="str">
        <f>+'Plan de acción 2025'!$AP$30</f>
        <v>e acuerdo con las evidencias, el proceso cumple con el indicador, dado que durante el trimestre reportó 26 contratos en la aplicación SIA OBSERVA dentro de los tiempos establecidos. Se recomienda al proceso mantener la consistencia en la carga oportuna de la información y reforzar los mecanismos de control interno para asegurar que todos los contratos continúen registrándose sin rezagos.</v>
      </c>
      <c r="L5" s="128" t="str">
        <f>+'Plan de acción 2025'!$AR$30</f>
        <v>Según las evidencias, el proceso cumple con el indicador, habiéndose registrado 13 contratos en la aplicación SIA OBSERVA dentro de los tiempos establecidos durante el trimestre. Se recomienda mantener la consistencia en la carga oportuna de la información y fortalecer los mecanismos de control interno, garantizando que todos los contratos se registren puntualmente y sin rezagos.</v>
      </c>
    </row>
    <row r="6" spans="2:12" ht="138.75" customHeight="1" thickBot="1" x14ac:dyDescent="0.25">
      <c r="B6" s="139" t="str">
        <f>+'Plan de acción 2025'!H31</f>
        <v xml:space="preserve">Verificar el comportamiento  de los proveedores </v>
      </c>
      <c r="C6" s="140">
        <f>IF('Plan de acción 2025'!W31="N/A",0,'Plan de acción 2025'!W31)</f>
        <v>0.25</v>
      </c>
      <c r="D6" s="140">
        <f>IF('Plan de acción 2025'!Z31="N/A",0,'Plan de acción 2025'!Z31)</f>
        <v>0.25</v>
      </c>
      <c r="E6" s="140">
        <f>IF('Plan de acción 2025'!AC31="N/A",0,'Plan de acción 2025'!AC31)</f>
        <v>0.25</v>
      </c>
      <c r="F6" s="140">
        <f>IF('Plan de acción 2025'!AF31="N/A",0,'Plan de acción 2025'!AF31)</f>
        <v>0.20192307692307693</v>
      </c>
      <c r="G6" s="140">
        <f>SUMIF(C6:F6,"&gt;0",C6:F6)</f>
        <v>0.95192307692307687</v>
      </c>
      <c r="I6" s="129" t="str">
        <f>+'Plan de acción 2025'!$AL$31</f>
        <v>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v>
      </c>
      <c r="J6" s="129" t="str">
        <f>+'Plan de acción 2025'!$AN$31</f>
        <v>De acuerdo con las evidencias revisadas, durante el segundo trimestre de 2025 no se presenta avance en el indicador, toda vez que no se realizaron evaluaciones de proveedores. El proceso manifiesta que no hubo cierres de contratos en el período; sin embargo, en las evidencias se observa que el contrato con Gmail finalizó en junio, y que el contrato 072 presentó cierre anticipado.
Si bien aún se cuenta con plazo para efectuar la reevaluación, se sugiere adelantar estas actividades en el siguiente trimestre con el fin de garantizar la oportunidad y calidad en el seguimiento a los contratistas y proveedores, asegurando así la mejora continua en la gestión contractual.</v>
      </c>
      <c r="K6" s="129" t="str">
        <f>+'Plan de acción 2025'!$AP$31</f>
        <v>Se evidencia que el proceso cumple con el indicador establecido, ya que durante el trimestre se registraron 7 cierres de contrato y la evaluación del comportamiento de los proveedores fue positiva, con calificaciones entre 4 y 5. Se recomienda al proceso mantener la actualización oportuna de la base de datos y la RED de contratación, asegurando la trazabilidad y el adecuado seguimiento de cada contratación, así como utilizar el formato de calidad para la revaluación de proveedores con el fin de fortalecer la consistencia y estandarización del proceso.</v>
      </c>
      <c r="L6" s="129" t="str">
        <f>+'Plan de acción 2025'!$AR$31</f>
        <v xml:space="preserve">Se evidencia que el proceso cumple satisfactoriamente con el indicador establecido, ya que durante el trimestre se registraron 130 terminaciones de contrato de las cuales 105 cuentan con evaluación   del comportamiento de los proveedores y esta fue positiva, con calificaciones entre 4 y 5. Se recomienda al proceso mantener la actualización oportuna de la base de datos y la RED de contratación, asegurando la trazabilidad y el adecuado seguimiento de cada contratación, Así registrar en el formato de calidad la totalidad de las terminaciones y su respectiva evaluación para el periodo. </v>
      </c>
    </row>
    <row r="7" spans="2:12" ht="36" customHeight="1" thickBot="1" x14ac:dyDescent="0.25">
      <c r="B7" s="130" t="s">
        <v>568</v>
      </c>
      <c r="C7" s="118">
        <f>+AVERAGE(C4:C6)</f>
        <v>0.25</v>
      </c>
      <c r="D7" s="118">
        <f>+AVERAGE(D4:D6)</f>
        <v>0.24747474747474749</v>
      </c>
      <c r="E7" s="118">
        <f>+AVERAGE(E4:E6)</f>
        <v>0.25</v>
      </c>
      <c r="F7" s="118">
        <f>+AVERAGE(F4:F6)</f>
        <v>0.21545584045584043</v>
      </c>
      <c r="G7" s="118">
        <f>+AVERAGE(G4:G6)</f>
        <v>0.96293058793058783</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22CC-D5AB-47BD-B32C-1D62ECFA478C}">
  <dimension ref="B1:L9"/>
  <sheetViews>
    <sheetView topLeftCell="E3" zoomScale="90" zoomScaleNormal="90" workbookViewId="0">
      <selection activeCell="K4" sqref="K4"/>
    </sheetView>
  </sheetViews>
  <sheetFormatPr baseColWidth="10" defaultColWidth="10.85546875" defaultRowHeight="14.25" x14ac:dyDescent="0.2"/>
  <cols>
    <col min="1" max="1" width="4.28515625" style="98" customWidth="1"/>
    <col min="2" max="2" width="38.42578125" style="98" customWidth="1"/>
    <col min="3" max="6" width="10.85546875" style="98"/>
    <col min="7" max="7" width="17" style="98" customWidth="1"/>
    <col min="8" max="8" width="6" style="98" customWidth="1"/>
    <col min="9" max="11" width="62.7109375" style="98" customWidth="1"/>
    <col min="12" max="12" width="58.85546875" style="98" customWidth="1"/>
    <col min="13" max="16384" width="10.85546875" style="98"/>
  </cols>
  <sheetData>
    <row r="1" spans="2:12" ht="15" thickBot="1" x14ac:dyDescent="0.25"/>
    <row r="2" spans="2:12" ht="15.75" thickBot="1" x14ac:dyDescent="0.3">
      <c r="B2" s="285" t="s">
        <v>579</v>
      </c>
      <c r="C2" s="285"/>
      <c r="D2" s="285"/>
      <c r="E2" s="285"/>
      <c r="F2" s="285"/>
      <c r="G2" s="285"/>
      <c r="I2" s="285" t="s">
        <v>558</v>
      </c>
      <c r="J2" s="285"/>
      <c r="K2" s="285"/>
      <c r="L2" s="285"/>
    </row>
    <row r="3" spans="2:12" ht="45.75" thickBot="1" x14ac:dyDescent="0.25">
      <c r="B3" s="120" t="s">
        <v>559</v>
      </c>
      <c r="C3" s="120" t="s">
        <v>560</v>
      </c>
      <c r="D3" s="120" t="s">
        <v>561</v>
      </c>
      <c r="E3" s="120" t="s">
        <v>562</v>
      </c>
      <c r="F3" s="120" t="s">
        <v>563</v>
      </c>
      <c r="G3" s="120" t="s">
        <v>576</v>
      </c>
      <c r="I3" s="121" t="s">
        <v>564</v>
      </c>
      <c r="J3" s="121" t="s">
        <v>565</v>
      </c>
      <c r="K3" s="121" t="s">
        <v>566</v>
      </c>
      <c r="L3" s="121" t="s">
        <v>567</v>
      </c>
    </row>
    <row r="4" spans="2:12" ht="133.5" customHeight="1" thickBot="1" x14ac:dyDescent="0.25">
      <c r="B4" s="141" t="str">
        <f>+'Plan de acción 2025'!H32</f>
        <v>Realizar mantenimiento preventivo a los equipos de cómputo, impresoras, scanner y equipo de la red de la entidad</v>
      </c>
      <c r="C4" s="142">
        <f>IF('Plan de acción 2025'!W32="N/A",0,'Plan de acción 2025'!W32)</f>
        <v>0.25</v>
      </c>
      <c r="D4" s="142">
        <f>IF('Plan de acción 2025'!Z32="N/A",0,'Plan de acción 2025'!Z32)</f>
        <v>0.25</v>
      </c>
      <c r="E4" s="142">
        <f>IF('Plan de acción 2025'!AC32="N/A",0,'Plan de acción 2025'!AC32)</f>
        <v>0.23076923076923078</v>
      </c>
      <c r="F4" s="142">
        <f>IF('Plan de acción 2025'!AF32="N/A",0,'Plan de acción 2025'!AF32)</f>
        <v>0.25</v>
      </c>
      <c r="G4" s="143">
        <f>SUMIF(C4:F4,"&gt;0",C4:F4)</f>
        <v>0.98076923076923084</v>
      </c>
      <c r="I4" s="128" t="str">
        <f>+'Plan de acción 2025'!$AL$32</f>
        <v>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v>
      </c>
      <c r="J4" s="128" t="str">
        <f>+'Plan de acción 2025'!$AN$32</f>
        <v>De acuerdo con las evidencias revisadas, el proceso cumplió con el indicador para el segundo trimestre de 2025, realizando 24 mantenimientos preventivos a los equipos de cómputo de la entidad. Estos mantenimientos se llevaron a cabo en los procesos de gerencia, jurídica, planeación, control interno, contratación y gestión financiera.
Se sugiere continuar con la ejecución de los mantenimientos preventivos de acuerdo con el cronograma establecido, manteniendo un seguimiento detallado a los equipos de cómputo de otras áreas que puedan necesitar atención en el siguiente trimestre, con el fin de asegurar la operatividad continua de la infraestructura tecnológica de la entidad.</v>
      </c>
      <c r="K4" s="128" t="str">
        <f>+'Plan de acción 2025'!$AP$32</f>
        <v>De acuerdo con las evidencias aportadas, el indicador se cumple, sin ebargo de los 39 mantenimientos preventivos programados solo se evidencian 36 realizados. Se recomienda al proceso utilizar los formatos de calidad para la programación de los mantenimientos, así como mejorar la organización del cronograma y la ejecución de las actividades, con el fin de asegurar el cumplimiento total y fortalecer la trazabilidad en los próximos periodos.</v>
      </c>
      <c r="L4" s="128" t="str">
        <f>+'Plan de acción 2025'!$AR$32</f>
        <v xml:space="preserve">De acuerdo con la revisión de las evidencias aportadas por el proceso se evidencia un cumplimiento parcial del indicador, toda vez que no se encuentran soportadas las listas de chequeo correspondientes a los quince (15) mantenimientos realizados durante eltrimestre. En este sentido, no es posible verificar la ejecución completa de las actividades. Se recomienda al proceso utilizar los formatos de calidad establecidos por la entidad, con el fin de garantizar el cumplimiento integral de los mantenimientos y fortalecer la trazabilidad y el control de la información en los próximos periodos.
</v>
      </c>
    </row>
    <row r="5" spans="2:12" ht="174.75" customHeight="1" thickBot="1" x14ac:dyDescent="0.25">
      <c r="B5" s="141" t="str">
        <f>+'Plan de acción 2025'!H33</f>
        <v>Realizar mantenimiento correctivo cuando sea necesario  a los equipos de cómputo, impresoras, scanner y equipo de la red de la entidad, asi como soporte al usuario.</v>
      </c>
      <c r="C5" s="142">
        <f>IF('Plan de acción 2025'!W33="N/A",0,'Plan de acción 2025'!W33)</f>
        <v>0.25</v>
      </c>
      <c r="D5" s="142">
        <f>IF('Plan de acción 2025'!Z33="N/A",0,'Plan de acción 2025'!Z33)</f>
        <v>0.25</v>
      </c>
      <c r="E5" s="142">
        <f>IF('Plan de acción 2025'!AC33="N/A",0,'Plan de acción 2025'!AC33)</f>
        <v>0.25735294117647056</v>
      </c>
      <c r="F5" s="142">
        <f>IF('Plan de acción 2025'!AF33="N/A",0,'Plan de acción 2025'!AF33)</f>
        <v>0.16129032258064516</v>
      </c>
      <c r="G5" s="143">
        <f>SUMIF(C5:F5,"&gt;0",C5:F5)</f>
        <v>0.91864326375711569</v>
      </c>
      <c r="I5" s="128" t="str">
        <f>+'Plan de acción 2025'!$AL$33</f>
        <v>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v>
      </c>
      <c r="J5" s="128" t="str">
        <f>+'Plan de acción 2025'!$AN$33</f>
        <v>De acuerdo con las evidencias revisadas, el proceso cumplió con el indicador para el segundo trimestre de 2025, con un total de 24 solicitudes de soporte a usuarios, todas ellas gestionadas y atendidas. De estas, 2 están relacionadas con mantenimiento a impresoras, mientras que la mayoría de las solicitudes corresponden a soporte con Novasoft.
Se sugiere revisar la totalidad de las necesidades reportadas, ya que el proceso menciona que se registraron 56 ssoportes a usuarios, pero solo 24 han sido documentadas y tramitadas adecuadamente. Es recomendable establecer un control más riguroso para asegurar que todas las solicitudes sean correctamente documentadas y gestionadas, además de analizar las solicitudes recurrentes de soporte con Novasoft para identificar posibles mejoras o necesidades de capacitación. Igualmente se recomienda continuar con el seguimiento a los equipos de impresión para garantizar su óptimo funcionamiento en el próximo trimestre.</v>
      </c>
      <c r="K5" s="128" t="str">
        <f>+'Plan de acción 2025'!$AP$33</f>
        <v>De acuerdo con las evidencias reportadas, durante el tercer  trimestre el proceso atendió 35 solicitudes, entre ellas tickets relacionados con Novasoft, mantenimiento de impresoras y conexiones a la VPN. La mayoría contó con solución oportuna, por lo que el indicador se cumple, evidenciando una gestión eficiente en la atención y resolución de requerimientos.</v>
      </c>
      <c r="L5" s="128" t="str">
        <f>+'Plan de acción 2025'!$AR$33</f>
        <v>De acuerdo con las evidencias reportadas, durante el cuarto trimestre el proceso atendió un total de 31 solicitudes, correspondientes, entre otras, a tickets relacionados con Novasoft, mantenimiento de impresoras y bloqueo de usuarios. La mayoría de estas solicitudes contó con una atención y solución oportuna, razón por la cual el indicador presenta un cumplimiento parcial. No obstante, se solicita al proceso completar adecuadamente los campos de respuesta en el formulario, con el fin de garantizar una trazabilidad clara y una gestión eficaz de cada solicitud.</v>
      </c>
    </row>
    <row r="6" spans="2:12" ht="118.5" customHeight="1" thickBot="1" x14ac:dyDescent="0.25">
      <c r="B6" s="141" t="str">
        <f>+'Plan de acción 2025'!H34</f>
        <v xml:space="preserve">Adquirir los equipos tecnológicos requeridos por la entidad. </v>
      </c>
      <c r="C6" s="142">
        <f>IF('Plan de acción 2025'!W34="N/A",0,'Plan de acción 2025'!W34)</f>
        <v>0.25</v>
      </c>
      <c r="D6" s="142">
        <f>IF('Plan de acción 2025'!Z34="N/A",0,'Plan de acción 2025'!Z34)</f>
        <v>0</v>
      </c>
      <c r="E6" s="142">
        <f>IF('Plan de acción 2025'!AC34="N/A",0,'Plan de acción 2025'!AC34)</f>
        <v>0.25</v>
      </c>
      <c r="F6" s="142">
        <f>IF('Plan de acción 2025'!AF34="N/A",0,'Plan de acción 2025'!AF34)</f>
        <v>0.25</v>
      </c>
      <c r="G6" s="143">
        <f>SUMIF(C6:F6,"&gt;0",C6:F6)</f>
        <v>0.75</v>
      </c>
      <c r="I6" s="128" t="str">
        <f>+'Plan de acción 2025'!$AL$34</f>
        <v>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v>
      </c>
      <c r="J6" s="128" t="str">
        <f>+'Plan de acción 2025'!$AN$34</f>
        <v>De acuerdo con las evidencias revisadas, no se presenta avance en el indicador para el segundo trimestre de 2025, ya que durante este período no se realizaron adquisiciones tecnológicas para la entidad.
Se recomienda priorizar y agilizar el proceso de planificación y adquisición tecnológica para el siguiente trimestre, con el fin de cumplir con los plazos establecidos y asegurar que las necesidades tecnológicas de la entidad sean atendidas a tiempo. Esto permitirá retomar el avance del indicador y evitar retrasos en la mejora de la infraestructura tecnológica.</v>
      </c>
      <c r="K6" s="128" t="str">
        <f>+'Plan de acción 2025'!$AP$34</f>
        <v>Durante el trimestre, el proceso gestionó la renovación por dos años del certificado de sitio seguro SSL para la página web de la Corporación Social de Cundinamarca mediante el servicio MPKI para SSL, por lo que el indicador se cumple. Se recomienda al proceso verificar qué otros equipos o infraestructuras tecnológicas requieren la entidad, con el fin de planificar su implementación y fortalecer la seguridad institucional.</v>
      </c>
      <c r="L6" s="128" t="str">
        <f>+'Plan de acción 2025'!$AR$34</f>
        <v>Durante el trimestre, el proceso gestionó la Renovación e instalación de licenciamiento por un año incluido soporte para el equipo de seguridad perimetral firewall de la CSC y soporte por ocho (8) horas. 
El Acceso a una plataforma tecnológica que permita la consulta y entrega en línea de manera inmediata y efectiva sobre información del estado procesal de cada actuación en materia jurídica, ademas se susciribieron 2 contratos para la compra de repuestos, accesorios y periféricos para equipos de computo, por lo que el indicador se cumple. Se recomienda al proceso verificar qué otros equipos o infraestructuras tecnológicas requieren la entidad, con el fin de planificar su implementación y fortalecer la seguridad institucional.</v>
      </c>
    </row>
    <row r="7" spans="2:12" ht="223.5" customHeight="1" thickBot="1" x14ac:dyDescent="0.25">
      <c r="B7" s="141" t="str">
        <f>+'Plan de acción 2025'!H35</f>
        <v xml:space="preserve">Publicación y seguimiento del Plan de Tratamiento de Riesgos de Seguridad y Privacidad de la Información, Plan de Seguridad y Privacidad de la Información y PETIC. </v>
      </c>
      <c r="C7" s="142">
        <f>IF('Plan de acción 2025'!W35="N/A",0,'Plan de acción 2025'!W35)</f>
        <v>0</v>
      </c>
      <c r="D7" s="142">
        <f>IF('Plan de acción 2025'!Z35="N/A",0,'Plan de acción 2025'!Z35)</f>
        <v>0.17499999999999999</v>
      </c>
      <c r="E7" s="142">
        <f>IF('Plan de acción 2025'!AC35="N/A",0,'Plan de acción 2025'!AC35)</f>
        <v>6.25E-2</v>
      </c>
      <c r="F7" s="142">
        <f>IF('Plan de acción 2025'!AF35="N/A",0,'Plan de acción 2025'!AF35)</f>
        <v>0</v>
      </c>
      <c r="G7" s="143">
        <f>SUMIF(C7:F7,"&gt;0",C7:F7)</f>
        <v>0.23749999999999999</v>
      </c>
      <c r="I7" s="128" t="str">
        <f>+'Plan de acción 2025'!$AL$35</f>
        <v>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v>
      </c>
      <c r="J7" s="128" t="str">
        <f>+'Plan de acción 2025'!$AN$35</f>
        <v>De acuerdo con las evidencias revisadas, el proceso cumplió parcialmente con el indicador para el segundo trimestre de 2025. De las 20 actividades programadas para el semestre, se ejecutaron 7 con éxito, entre ellas la actualización de Novasoft, la gestión de licencias de Gmail, el mantenimiento de impresoras, la actualización de activos de la entidad y el control de riesgos y amenazas en los equipos a través del firewall. Quedan pendientes varias actividades, entre las que se destacan: la política y procedimiento de seguridad de la información, la compra de equipos, el servicio de hosting, la implementación de IPv6 y la documentación de las buenas prácticas de ciberseguridad, entre otras.
Se sugiere priorizar la ejecución de las actividades pendientes, especialmente aquellas relacionadas con la seguridad de la información y la infraestructura tecnológica, para garantizar el cumplimiento del indicador en los siguientes trimestres. Asimismo, es recomendable reforzar el monitoreo de los avances y establecer fechas límite claras para la ejecución de cada actividad, asegurando que no queden pendientes a largo plazo. Igualmente, se recomienda complementar el autodiagnóstico de MinTIC, ya que se encuentra diligenciado de manera incompleta, lo cual limita la identificación precisa de brechas y necesidades en materia de transformación digital y seguridad.</v>
      </c>
      <c r="K7" s="128" t="str">
        <f>+'Plan de acción 2025'!$AP$35</f>
        <v>Durante el trimestre se evidencia que el indicador no cumple, dado que de las 5 actividades programadas en el PETIC solo se ejecutaron 2: la activación del sitio seguro MPKI y la adquisición del sistema de gestión de calidad y gestión documental. Permanecen pendientes la actualización del firewall, el aplicativo jurídico, la licencia de Open IA, así como 6 actividades del plan de riesgos y 5 actividades del plan de seguridad de la información, sin que se observe avance o seguimiento en estas. Se recomienda al proceso fortalecer la planificación y priorización de estas acciones para asegurar su ejecución en el próximo periodo.</v>
      </c>
      <c r="L7" s="128" t="str">
        <f>+'Plan de acción 2025'!$AR$35</f>
        <v>Durante el trimestre se evidencia que el indicador no presenta cumplimiento, toda vez que ninguna de las 9 actividades programadas en los planes institucionales fue ejecutada. En consecuencia, se recomienda al proceso fortalecer la planeación, revisar la viabilidad de las actividades definidas y formular una nueva propuesta para la vigencia siguiente, priorizando aquellas que puedan ser efectivamente implementadas.</v>
      </c>
    </row>
    <row r="8" spans="2:12" ht="151.5" customHeight="1" thickBot="1" x14ac:dyDescent="0.25">
      <c r="B8" s="141" t="str">
        <f>+'Plan de acción 2025'!H36</f>
        <v>Actualización, publicación y seguimiento al Plan Institucional de Archivos de la Entidad  (PINAR).</v>
      </c>
      <c r="C8" s="142">
        <f>IF('Plan de acción 2025'!W36="N/A",0,'Plan de acción 2025'!W36)</f>
        <v>0.25</v>
      </c>
      <c r="D8" s="142">
        <f>IF('Plan de acción 2025'!Z36="N/A",0,'Plan de acción 2025'!Z36)</f>
        <v>0.21428571428571427</v>
      </c>
      <c r="E8" s="142">
        <f>IF('Plan de acción 2025'!AC36="N/A",0,'Plan de acción 2025'!AC36)</f>
        <v>0.21428571428571427</v>
      </c>
      <c r="F8" s="142">
        <f>IF('Plan de acción 2025'!AF36="N/A",0,'Plan de acción 2025'!AF36)</f>
        <v>0.17857142857142858</v>
      </c>
      <c r="G8" s="143">
        <f>SUMIF(C8:F8,"&gt;0",C8:F8)</f>
        <v>0.85714285714285721</v>
      </c>
      <c r="I8" s="129" t="str">
        <f>+'Plan de acción 2025'!$AL$36</f>
        <v>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v>
      </c>
      <c r="J8" s="129" t="str">
        <f>+'Plan de acción 2025'!$AN$36</f>
        <v>De acuerdo con las evidencias revisadas, el proceso cumplió parcialmente con el indicador para el segundo trimestre de 2025, ejecutando 6 de las 7 actividades programadas (equivalente a un 85.7% de cumplimiento). Quedó pendiente la actualización de los instrumentos archivísticos.
Se sugiere al proceso organizar la plantilla de medición de temperatura y humedad, de manera que cada casilla se diligencie claramente y se formalice el formato en el sistema de gestión de calidad. Esta plantilla deberá implementarse tanto en la sede Corporación como en la sede de Archivo Central, garantizando uniformidad en el control de las condiciones de conservación. Asimismo, se recomienda mejorar la presentación de la evidencia del cambio de las unidades de conservación, mostrando un registro comparativo de “antes y después” que permita evidenciar de forma más clara los avances logrados.</v>
      </c>
      <c r="K8" s="129" t="str">
        <f>+'Plan de acción 2025'!$AP$36</f>
        <v>De acuerdo con las evidencias aportadas por el proceso, se evidencia que de las 7 actividades programadas se ejecutaron 6, quedando pendiente únicamente la actividad relacionada con el cambio de las cajas. Asimismo, se verificó la contratación de una entidad encargada de actualizar los instrumentos archivísticos, por lo que se espera que para el próximo periodo estos puedan estar actualizados. El indicador cumple parcialmente, dado que aún queda una actividad por finalizar.</v>
      </c>
      <c r="L8" s="129" t="str">
        <f>+'Plan de acción 2025'!$AR$36</f>
        <v xml:space="preserve">De acuerdo con las evidencias aportadas por el proceso, se evidencia que de las 7 actividades programadas se ejecutaron 6, quedando pendiente la actualización de los instrumentos archivisticos, si bien se tienen proyectados, estos no fueron presenatdos para aprobación del CIGD.  El indicador cumple, sin embargo se recomienda al proceso continuar con las actividades pendientes que les permitan dar aprobación e implementación de los instrumentos archivisticos. </v>
      </c>
    </row>
    <row r="9" spans="2:12" ht="38.25" customHeight="1" thickBot="1" x14ac:dyDescent="0.25">
      <c r="B9" s="130" t="s">
        <v>568</v>
      </c>
      <c r="C9" s="118">
        <f>+AVERAGE(C4:C8)</f>
        <v>0.2</v>
      </c>
      <c r="D9" s="118">
        <f>+AVERAGE(D4:D8)</f>
        <v>0.17785714285714288</v>
      </c>
      <c r="E9" s="118">
        <f>+AVERAGE(E4:E8)</f>
        <v>0.20298157724628313</v>
      </c>
      <c r="F9" s="118">
        <f>+AVERAGE(F4:F8)</f>
        <v>0.16797235023041474</v>
      </c>
      <c r="G9" s="118">
        <f>+AVERAGE(G4:G8)</f>
        <v>0.74881107033384064</v>
      </c>
    </row>
  </sheetData>
  <mergeCells count="2">
    <mergeCell ref="B2:G2"/>
    <mergeCell ref="I2:L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TotalTime>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Plan de acción 2025</vt:lpstr>
      <vt:lpstr>Cumplimiento 2025</vt:lpstr>
      <vt:lpstr>Direccionamiento Estrategico</vt:lpstr>
      <vt:lpstr>Atención al Cliente</vt:lpstr>
      <vt:lpstr>Bienestar</vt:lpstr>
      <vt:lpstr>Crédito</vt:lpstr>
      <vt:lpstr>Cartera</vt:lpstr>
      <vt:lpstr>Gestión Contractual</vt:lpstr>
      <vt:lpstr>Gestión de la Información</vt:lpstr>
      <vt:lpstr>Gestión de Talento Humano</vt:lpstr>
      <vt:lpstr>Gestión de Recursos Físicos</vt:lpstr>
      <vt:lpstr>Gestión Financiera</vt:lpstr>
      <vt:lpstr>Gestión Jurídica</vt:lpstr>
      <vt:lpstr>Gestion del Mejoramiento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Vargas Rodriguez</dc:creator>
  <dc:description/>
  <cp:lastModifiedBy>Alejandra Vargas Rodriguez</cp:lastModifiedBy>
  <cp:revision>1</cp:revision>
  <cp:lastPrinted>2024-04-15T15:12:15Z</cp:lastPrinted>
  <dcterms:created xsi:type="dcterms:W3CDTF">2021-12-01T18:51:22Z</dcterms:created>
  <dcterms:modified xsi:type="dcterms:W3CDTF">2026-02-25T17:30:26Z</dcterms:modified>
  <dc:language>es-419</dc:language>
</cp:coreProperties>
</file>